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defaultThemeVersion="124226"/>
  <bookViews>
    <workbookView showHorizontalScroll="0" showVerticalScroll="0" showSheetTabs="0" xWindow="240" yWindow="150" windowWidth="20055" windowHeight="7935"/>
  </bookViews>
  <sheets>
    <sheet name="Intro" sheetId="10" r:id="rId1"/>
    <sheet name="Disclaimer" sheetId="11" r:id="rId2"/>
    <sheet name="Soc" sheetId="4" r:id="rId3"/>
    <sheet name="Porc" sheetId="12" r:id="rId4"/>
    <sheet name="Tabela S" sheetId="1" r:id="rId5"/>
    <sheet name="Tabela P" sheetId="13" r:id="rId6"/>
    <sheet name="Créditos" sheetId="8" r:id="rId7"/>
    <sheet name="Dados" sheetId="6" state="hidden" r:id="rId8"/>
  </sheets>
  <definedNames>
    <definedName name="_xlnm.Print_Area" localSheetId="3">Porc!$A$1:$O$28</definedName>
    <definedName name="_xlnm.Print_Area" localSheetId="2">Soc!$A$1:$O$28</definedName>
  </definedNames>
  <calcPr calcId="145621"/>
</workbook>
</file>

<file path=xl/calcChain.xml><?xml version="1.0" encoding="utf-8"?>
<calcChain xmlns="http://schemas.openxmlformats.org/spreadsheetml/2006/main">
  <c r="F14" i="12" l="1"/>
  <c r="E14" i="12"/>
  <c r="D14" i="12"/>
  <c r="F14" i="4"/>
  <c r="E14" i="4"/>
  <c r="D14" i="4"/>
  <c r="E8" i="4"/>
  <c r="D8" i="4"/>
  <c r="E13" i="12"/>
  <c r="E12" i="12"/>
  <c r="E11" i="12"/>
  <c r="E10" i="12"/>
  <c r="E9" i="12"/>
  <c r="E8" i="12"/>
  <c r="C33" i="4"/>
  <c r="F33" i="4" s="1"/>
  <c r="D9" i="4"/>
  <c r="D10" i="4"/>
  <c r="E9" i="4"/>
  <c r="E10" i="4"/>
  <c r="E11" i="4"/>
  <c r="E12" i="4"/>
  <c r="E13" i="4"/>
  <c r="D8" i="12"/>
  <c r="D9" i="12"/>
  <c r="D10" i="12"/>
  <c r="D12" i="12"/>
  <c r="C33" i="12"/>
  <c r="F33" i="12"/>
  <c r="G33" i="12"/>
  <c r="H33" i="12"/>
  <c r="H32" i="12" s="1"/>
  <c r="K2" i="13"/>
  <c r="A25" i="13"/>
  <c r="C25" i="13"/>
  <c r="A24" i="13"/>
  <c r="C24" i="13"/>
  <c r="A23" i="13"/>
  <c r="C23" i="13"/>
  <c r="A22" i="13"/>
  <c r="C22" i="13"/>
  <c r="A21" i="13"/>
  <c r="J21" i="13" s="1"/>
  <c r="C21" i="13"/>
  <c r="A20" i="13"/>
  <c r="C20" i="13"/>
  <c r="A19" i="13"/>
  <c r="C19" i="13"/>
  <c r="A18" i="13"/>
  <c r="C18" i="13"/>
  <c r="A17" i="13"/>
  <c r="J17" i="13"/>
  <c r="C17" i="13"/>
  <c r="A16" i="13"/>
  <c r="C16" i="13"/>
  <c r="A15" i="13"/>
  <c r="C15" i="13"/>
  <c r="A14" i="13"/>
  <c r="C14" i="13"/>
  <c r="A13" i="13"/>
  <c r="J13" i="13" s="1"/>
  <c r="C13" i="13"/>
  <c r="A12" i="13"/>
  <c r="C12" i="13"/>
  <c r="A11" i="13"/>
  <c r="J11" i="13"/>
  <c r="C11" i="13"/>
  <c r="A10" i="13"/>
  <c r="C10" i="13"/>
  <c r="A9" i="13"/>
  <c r="J9" i="13" s="1"/>
  <c r="C9" i="13"/>
  <c r="A8" i="13"/>
  <c r="C8" i="13"/>
  <c r="A7" i="13"/>
  <c r="C7" i="13"/>
  <c r="J6" i="13"/>
  <c r="C6" i="13"/>
  <c r="G57" i="12"/>
  <c r="C38" i="12"/>
  <c r="H45" i="12" s="1"/>
  <c r="C37" i="12"/>
  <c r="H44" i="12" s="1"/>
  <c r="C36" i="12"/>
  <c r="H43" i="12" s="1"/>
  <c r="F43" i="12"/>
  <c r="J40" i="12"/>
  <c r="D31" i="12"/>
  <c r="E31" i="12"/>
  <c r="D32" i="12"/>
  <c r="D30" i="12"/>
  <c r="E5" i="12"/>
  <c r="E4" i="12"/>
  <c r="E3" i="12"/>
  <c r="K2" i="1"/>
  <c r="G13" i="6"/>
  <c r="G27" i="6"/>
  <c r="D30" i="4"/>
  <c r="E31" i="4"/>
  <c r="D31" i="4"/>
  <c r="D32" i="4" l="1"/>
  <c r="Q2" i="13"/>
  <c r="Q3" i="13" s="1"/>
  <c r="H31" i="12"/>
  <c r="H29" i="12" s="1"/>
  <c r="K33" i="12"/>
  <c r="L33" i="12" s="1"/>
  <c r="J25" i="13"/>
  <c r="J7" i="13"/>
  <c r="J15" i="13"/>
  <c r="J23" i="13"/>
  <c r="J19" i="13"/>
  <c r="E15" i="12"/>
  <c r="E16" i="12" s="1"/>
  <c r="J10" i="13"/>
  <c r="J14" i="13"/>
  <c r="J18" i="13"/>
  <c r="J22" i="13"/>
  <c r="P2" i="13"/>
  <c r="P3" i="13" s="1"/>
  <c r="M2" i="13"/>
  <c r="M3" i="13" s="1"/>
  <c r="O2" i="13"/>
  <c r="O3" i="13" s="1"/>
  <c r="D11" i="12"/>
  <c r="J8" i="13"/>
  <c r="J12" i="13"/>
  <c r="J16" i="13"/>
  <c r="J20" i="13"/>
  <c r="J24" i="13"/>
  <c r="L2" i="13"/>
  <c r="L3" i="13" s="1"/>
  <c r="N2" i="13"/>
  <c r="N3" i="13" s="1"/>
  <c r="D13" i="12"/>
  <c r="J6" i="1"/>
  <c r="G33" i="4"/>
  <c r="D12" i="4"/>
  <c r="D13" i="4"/>
  <c r="D11" i="4"/>
  <c r="E15" i="4"/>
  <c r="E16" i="4" s="1"/>
  <c r="G57" i="4"/>
  <c r="F3" i="6"/>
  <c r="H16" i="6"/>
  <c r="G16" i="6"/>
  <c r="H15" i="6"/>
  <c r="H14" i="6"/>
  <c r="H13" i="6"/>
  <c r="H12" i="6"/>
  <c r="G12" i="6"/>
  <c r="I3" i="6"/>
  <c r="J3" i="6" s="1"/>
  <c r="K3" i="6" s="1"/>
  <c r="H11" i="6"/>
  <c r="C25" i="1"/>
  <c r="A25" i="1"/>
  <c r="J25" i="1" s="1"/>
  <c r="C24" i="1"/>
  <c r="A24" i="1"/>
  <c r="J24" i="1" s="1"/>
  <c r="C23" i="1"/>
  <c r="A23" i="1"/>
  <c r="J23" i="1" s="1"/>
  <c r="C22" i="1"/>
  <c r="A22" i="1"/>
  <c r="J22" i="1" s="1"/>
  <c r="C21" i="1"/>
  <c r="A21" i="1"/>
  <c r="J21" i="1" s="1"/>
  <c r="C20" i="1"/>
  <c r="A20" i="1"/>
  <c r="J20" i="1" s="1"/>
  <c r="C19" i="1"/>
  <c r="A19" i="1"/>
  <c r="J19" i="1" s="1"/>
  <c r="C18" i="1"/>
  <c r="A18" i="1"/>
  <c r="J18" i="1" s="1"/>
  <c r="C17" i="1"/>
  <c r="A17" i="1"/>
  <c r="J17" i="1" s="1"/>
  <c r="C16" i="1"/>
  <c r="A16" i="1"/>
  <c r="J16" i="1" s="1"/>
  <c r="C15" i="1"/>
  <c r="A15" i="1"/>
  <c r="C14" i="1"/>
  <c r="A14" i="1"/>
  <c r="J14" i="1" s="1"/>
  <c r="C13" i="1"/>
  <c r="A13" i="1"/>
  <c r="J13" i="1" s="1"/>
  <c r="C12" i="1"/>
  <c r="A12" i="1"/>
  <c r="J12" i="1" s="1"/>
  <c r="C11" i="1"/>
  <c r="A11" i="1"/>
  <c r="J11" i="1" s="1"/>
  <c r="C10" i="1"/>
  <c r="A10" i="1"/>
  <c r="J10" i="1" s="1"/>
  <c r="C9" i="1"/>
  <c r="A9" i="1"/>
  <c r="J9" i="1" s="1"/>
  <c r="C8" i="1"/>
  <c r="A8" i="1"/>
  <c r="J8" i="1" s="1"/>
  <c r="C7" i="1"/>
  <c r="A7" i="1"/>
  <c r="J7" i="1" s="1"/>
  <c r="C6" i="1"/>
  <c r="F43" i="4"/>
  <c r="J40" i="4"/>
  <c r="C38" i="4"/>
  <c r="H45" i="4" s="1"/>
  <c r="C37" i="4"/>
  <c r="H44" i="4" s="1"/>
  <c r="C36" i="4"/>
  <c r="H43" i="4" s="1"/>
  <c r="E5" i="4"/>
  <c r="E4" i="4"/>
  <c r="E3" i="4"/>
  <c r="F12" i="12" l="1"/>
  <c r="F10" i="12"/>
  <c r="F8" i="12"/>
  <c r="F11" i="4"/>
  <c r="F8" i="4"/>
  <c r="F11" i="12"/>
  <c r="F9" i="12"/>
  <c r="F12" i="4"/>
  <c r="F9" i="4"/>
  <c r="F10" i="4"/>
  <c r="P2" i="1"/>
  <c r="P3" i="1" s="1"/>
  <c r="I15" i="6" s="1"/>
  <c r="N2" i="1"/>
  <c r="N3" i="1" s="1"/>
  <c r="I13" i="6" s="1"/>
  <c r="L2" i="1"/>
  <c r="L3" i="1" s="1"/>
  <c r="I11" i="6" s="1"/>
  <c r="J15" i="1"/>
  <c r="Q2" i="1"/>
  <c r="Q3" i="1" s="1"/>
  <c r="I16" i="6" s="1"/>
  <c r="O2" i="1"/>
  <c r="O3" i="1" s="1"/>
  <c r="I14" i="6" s="1"/>
  <c r="M2" i="1"/>
  <c r="M3" i="1" s="1"/>
  <c r="I12" i="6" s="1"/>
  <c r="E37" i="12"/>
  <c r="I44" i="12" s="1"/>
  <c r="J44" i="12" s="1"/>
  <c r="D15" i="12"/>
  <c r="E36" i="12" s="1"/>
  <c r="D15" i="4"/>
  <c r="E36" i="4" s="1"/>
  <c r="E37" i="4"/>
  <c r="I44" i="4" s="1"/>
  <c r="J44" i="4" s="1"/>
  <c r="F4" i="6"/>
  <c r="H17" i="6"/>
  <c r="H18" i="6" s="1"/>
  <c r="I17" i="6"/>
  <c r="I18" i="6" s="1"/>
  <c r="F15" i="4" l="1"/>
  <c r="F15" i="12"/>
  <c r="D16" i="4"/>
  <c r="D16" i="12"/>
  <c r="H35" i="12"/>
  <c r="G35" i="12"/>
  <c r="G32" i="12" s="1"/>
  <c r="I43" i="12"/>
  <c r="J43" i="12" s="1"/>
  <c r="B10" i="6"/>
  <c r="G35" i="4"/>
  <c r="G32" i="4" s="1"/>
  <c r="K32" i="4" s="1"/>
  <c r="L32" i="4" s="1"/>
  <c r="I43" i="4"/>
  <c r="J43" i="4" s="1"/>
  <c r="H35" i="4"/>
  <c r="G15" i="6"/>
  <c r="G14" i="6"/>
  <c r="E38" i="12" l="1"/>
  <c r="F16" i="12"/>
  <c r="F16" i="4"/>
  <c r="E38" i="4"/>
  <c r="K32" i="12"/>
  <c r="L32" i="12" s="1"/>
  <c r="G31" i="12"/>
  <c r="F32" i="12"/>
  <c r="G31" i="4"/>
  <c r="G17" i="6"/>
  <c r="G18" i="6" s="1"/>
  <c r="G19" i="6" s="1"/>
  <c r="F32" i="4"/>
  <c r="K31" i="4" s="1"/>
  <c r="L31" i="4" s="1"/>
  <c r="H33" i="4"/>
  <c r="H32" i="4" s="1"/>
  <c r="I45" i="4" l="1"/>
  <c r="J45" i="4" s="1"/>
  <c r="F35" i="4"/>
  <c r="I45" i="12"/>
  <c r="J45" i="12" s="1"/>
  <c r="F35" i="12"/>
  <c r="K31" i="12"/>
  <c r="L31" i="12" s="1"/>
  <c r="F31" i="12"/>
  <c r="F31" i="4"/>
  <c r="H31" i="4"/>
  <c r="H29" i="4" s="1"/>
  <c r="K33" i="4"/>
  <c r="L33" i="4" s="1"/>
  <c r="F36" i="12" l="1"/>
  <c r="F38" i="12"/>
  <c r="F37" i="12"/>
  <c r="F38" i="4"/>
  <c r="F36" i="4"/>
  <c r="F37" i="4"/>
  <c r="I42" i="12"/>
  <c r="K42" i="12" s="1"/>
  <c r="J42" i="12"/>
  <c r="I42" i="4"/>
  <c r="J42" i="4"/>
  <c r="F30" i="12"/>
  <c r="G29" i="12" s="1"/>
  <c r="F30" i="4"/>
  <c r="K42" i="4" l="1"/>
  <c r="B8" i="6" s="1"/>
  <c r="C3" i="6" s="1"/>
  <c r="C2" i="6" s="1"/>
  <c r="F29" i="12"/>
  <c r="E29" i="12" s="1"/>
  <c r="L35" i="12" s="1"/>
  <c r="G29" i="4"/>
  <c r="F29" i="4"/>
  <c r="H2" i="12" l="1"/>
  <c r="L4" i="12"/>
  <c r="E29" i="4"/>
  <c r="L35" i="4" s="1"/>
  <c r="L4" i="4" s="1"/>
  <c r="H2" i="4" l="1"/>
</calcChain>
</file>

<file path=xl/comments1.xml><?xml version="1.0" encoding="utf-8"?>
<comments xmlns="http://schemas.openxmlformats.org/spreadsheetml/2006/main">
  <authors>
    <author>NOMAC _Bernard</author>
    <author>Elemar</author>
  </authors>
  <commentList>
    <comment ref="D3" authorId="0">
      <text>
        <r>
          <rPr>
            <sz val="9"/>
            <color indexed="81"/>
            <rFont val="Tahoma"/>
            <charset val="1"/>
          </rPr>
          <t xml:space="preserve">Informe neste campo o valor fixo por sócio estipulado pelo Município de acordo com Lei complemetar.
</t>
        </r>
      </text>
    </comment>
    <comment ref="E3" authorId="0">
      <text>
        <r>
          <rPr>
            <sz val="9"/>
            <color indexed="81"/>
            <rFont val="Tahoma"/>
            <family val="2"/>
          </rPr>
          <t xml:space="preserve">Considere aqui a estimativa de sua receita média mensal em 2015.
</t>
        </r>
      </text>
    </comment>
    <comment ref="E4" authorId="1">
      <text>
        <r>
          <rPr>
            <sz val="9"/>
            <color indexed="81"/>
            <rFont val="Tahoma"/>
            <family val="2"/>
          </rPr>
          <t>O simulador já considera os encargos trabalhistas, portanto, infome apenas o valor mensal com a folha de pagamento de funcionários.</t>
        </r>
      </text>
    </comment>
    <comment ref="E5" authorId="1">
      <text>
        <r>
          <rPr>
            <sz val="9"/>
            <color indexed="81"/>
            <rFont val="Tahoma"/>
            <family val="2"/>
          </rPr>
          <t>Considere aqui todas as demais despesas dedutíveis para fins de cálculo no regime do lucro real do escritório.</t>
        </r>
      </text>
    </comment>
  </commentList>
</comments>
</file>

<file path=xl/comments2.xml><?xml version="1.0" encoding="utf-8"?>
<comments xmlns="http://schemas.openxmlformats.org/spreadsheetml/2006/main">
  <authors>
    <author>NOMAC _Bernard</author>
    <author>Elemar</author>
  </authors>
  <commentList>
    <comment ref="E3" authorId="0">
      <text>
        <r>
          <rPr>
            <sz val="9"/>
            <color indexed="81"/>
            <rFont val="Tahoma"/>
            <family val="2"/>
          </rPr>
          <t xml:space="preserve">Considere aqui a estimativa de sua receita média mensal em 2015.
</t>
        </r>
      </text>
    </comment>
    <comment ref="E4" authorId="1">
      <text>
        <r>
          <rPr>
            <sz val="9"/>
            <color indexed="81"/>
            <rFont val="Tahoma"/>
            <family val="2"/>
          </rPr>
          <t>O simulador já considera os encargos trabalhistas, portanto, infome apenas o valor mensal com a folha de pagamento de funcionários.</t>
        </r>
      </text>
    </comment>
    <comment ref="E5" authorId="1">
      <text>
        <r>
          <rPr>
            <sz val="9"/>
            <color indexed="81"/>
            <rFont val="Tahoma"/>
            <family val="2"/>
          </rPr>
          <t>Considere aqui todas as demais despesas dedutíveis para fins de cálculo no regime do lucro real do escritório.</t>
        </r>
      </text>
    </comment>
  </commentList>
</comments>
</file>

<file path=xl/sharedStrings.xml><?xml version="1.0" encoding="utf-8"?>
<sst xmlns="http://schemas.openxmlformats.org/spreadsheetml/2006/main" count="69" uniqueCount="33">
  <si>
    <t>Alíquota</t>
  </si>
  <si>
    <t>IRPJ</t>
  </si>
  <si>
    <t>CSLL</t>
  </si>
  <si>
    <t>Cofins</t>
  </si>
  <si>
    <t>ISSQN</t>
  </si>
  <si>
    <t>PIS</t>
  </si>
  <si>
    <t>COFINS</t>
  </si>
  <si>
    <t>INSS</t>
  </si>
  <si>
    <t>Faturamento Ano</t>
  </si>
  <si>
    <r>
      <t xml:space="preserve"> </t>
    </r>
    <r>
      <rPr>
        <b/>
        <sz val="10"/>
        <color rgb="FFFF0000"/>
        <rFont val="Arial"/>
        <family val="2"/>
      </rPr>
      <t>Advocacia</t>
    </r>
    <r>
      <rPr>
        <b/>
        <sz val="10"/>
        <color theme="1"/>
        <rFont val="Arial"/>
        <family val="2"/>
      </rPr>
      <t xml:space="preserve">
Tabela Simples Nacional</t>
    </r>
  </si>
  <si>
    <t>Só Real</t>
  </si>
  <si>
    <t>Tem os Três</t>
  </si>
  <si>
    <t>Tem só Dois</t>
  </si>
  <si>
    <t>Economia Mês</t>
  </si>
  <si>
    <t>Economia Ano</t>
  </si>
  <si>
    <t>TOTAL</t>
  </si>
  <si>
    <t>Lucro Real</t>
  </si>
  <si>
    <t>Lucro Presumido</t>
  </si>
  <si>
    <t>Simples Nacional</t>
  </si>
  <si>
    <t>Sucesso a todos.</t>
  </si>
  <si>
    <t>Issqn</t>
  </si>
  <si>
    <t>TRIBUTOS Mensais</t>
  </si>
  <si>
    <t>Nº de Sócios</t>
  </si>
  <si>
    <t>IRPJ Adicional</t>
  </si>
  <si>
    <t>Bernard Pinheiro Blaser</t>
  </si>
  <si>
    <t>Caro colega Advogado(a)</t>
  </si>
  <si>
    <t>Com a inclusão da Advocacia no Simples Nacional pela Lei Complementar n. 147/2014 poderemos ter uma redução de carga tributária significativa para uma parcela de membros de nossa categoria que se organizarem em Sociedade de Advogados (art. 15, Lei n. 8.906/94 – EAOAB).
Diante da novidade que representa o regime de recolhimento tributário pelo Simples Nacional entendemos que as Sociedades de Advogados e os colegas interessados em constituí-las devam fazer um planejamento tributário estimando qual será o seu total de receita com honorários advocatícios em 2015. O objetivo é verificar exatamente qual será o regime de recolhimento tributário mais vantajoso: se Simples Nacional, se Lucro Presumido ou se Lucro Real.
E com objetivo de facilitar este planejamento criamos este SIMULADOR TRIBUTÁRIO contendo uma série de variáveis que impactam diretamente na escolha do melhor regime tributário, tais como: estimativa de faturamento, total gasto com folha de pagamento, custos e despesas operacionais e forma de recolhimento do ISS. Com isso o próprio profissional poderá realizar simulações diversas e com base nelas optar pelo melhor regime de tributação para o exercício financeiro de 2015.</t>
  </si>
  <si>
    <t>Alíquota ISSQN</t>
  </si>
  <si>
    <t xml:space="preserve">Caro usuário do SIMULADOR TRIBUTÁRIO,
Esta ferramenta requer para o seu melhor aproveitamento informações de natureza contábil e gerencial que devem ser fornecidas ou estimadas pelo seu gestor ou contador, sendo que o resultado apresentado é obtido através de cálculos de apuração de tributos tendo por base as informações prestadas pelo usuário em cotejo com as Leis de regência do ordenamento jurídico-tributário.
Poderão ocorrer oscilações nos resultados encontrados por diversos motivos de forma que é altamente recomendável que um profissional especializado da Advocacia, da Contabilidade ou da Administração seja consultado. Portanto, não nos responsabilizamos por decisões tomadas com base em dados deficientes, falha na interpretação dos resultados apresentados ou qualquer prejuízo que o usuário venha a ter pela sua utilização sem a orientação definitiva de um profissional especializado competente para tanto.
Cordialmente,
Equipe SIMULADOR TRIBUTÁRIO.                                                                                      
</t>
  </si>
  <si>
    <t>CRC: GO-020001</t>
  </si>
  <si>
    <r>
      <rPr>
        <b/>
        <sz val="11"/>
        <color theme="0" tint="-0.499984740745262"/>
        <rFont val="Arial"/>
        <family val="2"/>
      </rPr>
      <t>Thiago Miranda</t>
    </r>
    <r>
      <rPr>
        <sz val="11"/>
        <color theme="0" tint="-0.499984740745262"/>
        <rFont val="Arial"/>
        <family val="2"/>
      </rPr>
      <t>, advogado, Conselheiro e Presidente da Comissão de Direito Tributário da OAB/GO e diretor da ACIEG.</t>
    </r>
  </si>
  <si>
    <r>
      <t xml:space="preserve">O SIMULADOR TRIBUTÁRIO para Sociedade de Advogados foi idealizado por </t>
    </r>
    <r>
      <rPr>
        <b/>
        <sz val="11"/>
        <color rgb="FF627891"/>
        <rFont val="Arial"/>
        <family val="2"/>
      </rPr>
      <t>Thiago Miranda</t>
    </r>
    <r>
      <rPr>
        <sz val="11"/>
        <color rgb="FF627891"/>
        <rFont val="Arial"/>
        <family val="2"/>
      </rPr>
      <t xml:space="preserve"> (</t>
    </r>
    <r>
      <rPr>
        <b/>
        <sz val="11"/>
        <color rgb="FF627891"/>
        <rFont val="Arial"/>
        <family val="2"/>
      </rPr>
      <t>thiago.miranda@nomacorp.com.br</t>
    </r>
    <r>
      <rPr>
        <sz val="11"/>
        <color rgb="FF627891"/>
        <rFont val="Arial"/>
        <family val="2"/>
      </rPr>
      <t>) e desenvolvido/formulado por</t>
    </r>
    <r>
      <rPr>
        <b/>
        <sz val="11"/>
        <color rgb="FF627891"/>
        <rFont val="Arial"/>
        <family val="2"/>
      </rPr>
      <t xml:space="preserve"> Bernard Blaser</t>
    </r>
    <r>
      <rPr>
        <sz val="11"/>
        <color rgb="FF627891"/>
        <rFont val="Arial"/>
        <family val="2"/>
      </rPr>
      <t xml:space="preserve"> (</t>
    </r>
    <r>
      <rPr>
        <b/>
        <sz val="11"/>
        <color rgb="FF627891"/>
        <rFont val="Arial"/>
        <family val="2"/>
      </rPr>
      <t>bernardpsb@gmail.com</t>
    </r>
    <r>
      <rPr>
        <sz val="11"/>
        <color rgb="FF627891"/>
        <rFont val="Arial"/>
        <family val="2"/>
      </rPr>
      <t>).</t>
    </r>
  </si>
  <si>
    <t>Valor por Sócio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</si>
</sst>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0.00_ ;\-#,##0.00\ "/>
    <numFmt numFmtId="165" formatCode="&quot;R$&quot;\ #,##0.00"/>
  </numFmts>
  <fonts count="31" x14ac:knownFonts="1">
    <font>
      <sz val="11"/>
      <color theme="1"/>
      <name val="Calibri"/>
      <family val="2"/>
      <scheme val="minor"/>
    </font>
    <font>
      <sz val="11"/>
      <color theme="1"/>
      <name val="Calibri"/>
      <family val="2"/>
      <scheme val="minor"/>
    </font>
    <font>
      <sz val="10"/>
      <color theme="1"/>
      <name val="Arial"/>
      <family val="2"/>
    </font>
    <font>
      <sz val="10"/>
      <color rgb="FF1A1A1A"/>
      <name val="Arial"/>
      <family val="2"/>
    </font>
    <font>
      <b/>
      <sz val="10"/>
      <color theme="1"/>
      <name val="Arial"/>
      <family val="2"/>
    </font>
    <font>
      <sz val="8"/>
      <color theme="1"/>
      <name val="Arial"/>
      <family val="2"/>
    </font>
    <font>
      <sz val="11"/>
      <color theme="1"/>
      <name val="Arial"/>
      <family val="2"/>
    </font>
    <font>
      <b/>
      <sz val="11"/>
      <color theme="1"/>
      <name val="Arial"/>
      <family val="2"/>
    </font>
    <font>
      <b/>
      <sz val="10"/>
      <color rgb="FFFF0000"/>
      <name val="Arial"/>
      <family val="2"/>
    </font>
    <font>
      <sz val="10"/>
      <color rgb="FFFF0000"/>
      <name val="Arial"/>
      <family val="2"/>
    </font>
    <font>
      <sz val="10"/>
      <color rgb="FF0066FF"/>
      <name val="Arial"/>
      <family val="2"/>
    </font>
    <font>
      <sz val="9"/>
      <color theme="1"/>
      <name val="Arial"/>
      <family val="2"/>
    </font>
    <font>
      <b/>
      <sz val="9"/>
      <color theme="1"/>
      <name val="Arial"/>
      <family val="2"/>
    </font>
    <font>
      <sz val="8"/>
      <name val="Verdana"/>
      <family val="2"/>
    </font>
    <font>
      <u/>
      <sz val="11"/>
      <color theme="10"/>
      <name val="Calibri"/>
      <family val="2"/>
    </font>
    <font>
      <sz val="9"/>
      <color rgb="FF627891"/>
      <name val="Arial"/>
      <family val="2"/>
    </font>
    <font>
      <sz val="9"/>
      <color indexed="81"/>
      <name val="Tahoma"/>
      <family val="2"/>
    </font>
    <font>
      <b/>
      <sz val="10"/>
      <color rgb="FF0066FF"/>
      <name val="Arial"/>
      <family val="2"/>
    </font>
    <font>
      <b/>
      <sz val="10"/>
      <color theme="1" tint="4.9989318521683403E-2"/>
      <name val="Arial"/>
      <family val="2"/>
    </font>
    <font>
      <i/>
      <sz val="8"/>
      <color theme="0" tint="-0.499984740745262"/>
      <name val="Calibri"/>
      <family val="2"/>
      <scheme val="minor"/>
    </font>
    <font>
      <b/>
      <i/>
      <sz val="9"/>
      <color theme="0" tint="-0.499984740745262"/>
      <name val="Arial"/>
      <family val="2"/>
    </font>
    <font>
      <b/>
      <sz val="10"/>
      <name val="Arial"/>
      <family val="2"/>
    </font>
    <font>
      <b/>
      <sz val="11"/>
      <color theme="1"/>
      <name val="Calibri"/>
      <family val="2"/>
      <scheme val="minor"/>
    </font>
    <font>
      <sz val="7"/>
      <color theme="1"/>
      <name val="Arial"/>
      <family val="2"/>
    </font>
    <font>
      <b/>
      <sz val="9"/>
      <name val="Arial"/>
      <family val="2"/>
    </font>
    <font>
      <sz val="11"/>
      <color theme="0" tint="-0.499984740745262"/>
      <name val="Arial"/>
      <family val="2"/>
    </font>
    <font>
      <b/>
      <sz val="11"/>
      <color theme="0" tint="-0.499984740745262"/>
      <name val="Arial"/>
      <family val="2"/>
    </font>
    <font>
      <sz val="11"/>
      <color theme="1" tint="0.499984740745262"/>
      <name val="Arial"/>
      <family val="2"/>
    </font>
    <font>
      <sz val="11"/>
      <color rgb="FF627891"/>
      <name val="Arial"/>
      <family val="2"/>
    </font>
    <font>
      <b/>
      <sz val="11"/>
      <color rgb="FF627891"/>
      <name val="Arial"/>
      <family val="2"/>
    </font>
    <font>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38">
    <border>
      <left/>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medium">
        <color auto="1"/>
      </top>
      <bottom/>
      <diagonal/>
    </border>
    <border>
      <left style="hair">
        <color auto="1"/>
      </left>
      <right style="medium">
        <color auto="1"/>
      </right>
      <top/>
      <bottom style="medium">
        <color auto="1"/>
      </bottom>
      <diagonal/>
    </border>
    <border>
      <left/>
      <right/>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medium">
        <color auto="1"/>
      </top>
      <bottom/>
      <diagonal/>
    </border>
    <border>
      <left style="thin">
        <color auto="1"/>
      </left>
      <right style="thin">
        <color auto="1"/>
      </right>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medium">
        <color auto="1"/>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thin">
        <color auto="1"/>
      </left>
      <right style="thin">
        <color indexed="64"/>
      </right>
      <top style="hair">
        <color auto="1"/>
      </top>
      <bottom style="medium">
        <color auto="1"/>
      </bottom>
      <diagonal/>
    </border>
    <border>
      <left style="dashed">
        <color indexed="64"/>
      </left>
      <right style="dashed">
        <color indexed="64"/>
      </right>
      <top style="dashed">
        <color indexed="64"/>
      </top>
      <bottom style="dashed">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thin">
        <color indexed="64"/>
      </top>
      <bottom/>
      <diagonal/>
    </border>
    <border>
      <left style="dashed">
        <color indexed="64"/>
      </left>
      <right style="dashed">
        <color indexed="64"/>
      </right>
      <top style="dashed">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44" fontId="1" fillId="0" borderId="0" applyFont="0" applyFill="0" applyBorder="0" applyAlignment="0" applyProtection="0"/>
  </cellStyleXfs>
  <cellXfs count="125">
    <xf numFmtId="0" fontId="0" fillId="0" borderId="0" xfId="0"/>
    <xf numFmtId="0" fontId="6" fillId="0" borderId="0" xfId="0" applyFont="1" applyAlignment="1" applyProtection="1">
      <alignment vertical="center"/>
      <protection hidden="1"/>
    </xf>
    <xf numFmtId="0" fontId="0" fillId="0" borderId="0" xfId="0" applyProtection="1">
      <protection hidden="1"/>
    </xf>
    <xf numFmtId="0" fontId="10" fillId="2" borderId="0" xfId="0" applyFont="1" applyFill="1" applyAlignment="1" applyProtection="1">
      <alignment horizontal="right" vertical="center"/>
      <protection hidden="1"/>
    </xf>
    <xf numFmtId="164" fontId="10" fillId="2" borderId="0" xfId="0" applyNumberFormat="1" applyFont="1" applyFill="1" applyAlignment="1" applyProtection="1">
      <alignment horizontal="center" vertical="center"/>
      <protection hidden="1"/>
    </xf>
    <xf numFmtId="40" fontId="6" fillId="0" borderId="0" xfId="0" applyNumberFormat="1" applyFont="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Alignment="1" applyProtection="1">
      <alignment vertical="center"/>
      <protection hidden="1"/>
    </xf>
    <xf numFmtId="43" fontId="2" fillId="0" borderId="0" xfId="1" applyFont="1" applyAlignment="1" applyProtection="1">
      <alignment vertical="center"/>
      <protection hidden="1"/>
    </xf>
    <xf numFmtId="10" fontId="2" fillId="0" borderId="0" xfId="2" applyNumberFormat="1" applyFont="1" applyAlignment="1" applyProtection="1">
      <alignment horizontal="center" vertical="center"/>
      <protection hidden="1"/>
    </xf>
    <xf numFmtId="10" fontId="3" fillId="0" borderId="0" xfId="0" applyNumberFormat="1" applyFont="1" applyAlignment="1" applyProtection="1">
      <alignment vertical="center" wrapText="1"/>
      <protection hidden="1"/>
    </xf>
    <xf numFmtId="43" fontId="2" fillId="0" borderId="0" xfId="0" applyNumberFormat="1" applyFont="1" applyAlignment="1" applyProtection="1">
      <alignment vertical="center"/>
      <protection hidden="1"/>
    </xf>
    <xf numFmtId="0" fontId="3" fillId="0" borderId="0" xfId="0" applyNumberFormat="1" applyFont="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6" fillId="2" borderId="0" xfId="0" applyFont="1" applyFill="1" applyAlignment="1" applyProtection="1">
      <alignment vertical="center"/>
      <protection hidden="1"/>
    </xf>
    <xf numFmtId="40" fontId="7" fillId="2" borderId="0" xfId="0" applyNumberFormat="1" applyFont="1" applyFill="1" applyAlignment="1" applyProtection="1">
      <alignment horizontal="left" vertical="center"/>
      <protection hidden="1"/>
    </xf>
    <xf numFmtId="4" fontId="6" fillId="2" borderId="0" xfId="0" applyNumberFormat="1" applyFont="1" applyFill="1" applyAlignment="1" applyProtection="1">
      <alignment vertical="center"/>
      <protection hidden="1"/>
    </xf>
    <xf numFmtId="0" fontId="5" fillId="2" borderId="0" xfId="0" applyFont="1" applyFill="1" applyAlignment="1" applyProtection="1">
      <alignment horizontal="right" vertical="center"/>
      <protection hidden="1"/>
    </xf>
    <xf numFmtId="0" fontId="9" fillId="2" borderId="0" xfId="0" applyFont="1" applyFill="1" applyAlignment="1" applyProtection="1">
      <alignment horizontal="right" vertical="center"/>
      <protection hidden="1"/>
    </xf>
    <xf numFmtId="0" fontId="9"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8" xfId="0" applyFont="1" applyFill="1" applyBorder="1" applyAlignment="1" applyProtection="1">
      <alignment horizontal="center" vertical="center"/>
      <protection hidden="1"/>
    </xf>
    <xf numFmtId="0" fontId="12" fillId="2" borderId="8" xfId="0" applyFont="1" applyFill="1" applyBorder="1" applyAlignment="1" applyProtection="1">
      <alignment horizontal="right" vertical="center" indent="1"/>
      <protection hidden="1"/>
    </xf>
    <xf numFmtId="43" fontId="11" fillId="2" borderId="14" xfId="0" applyNumberFormat="1" applyFont="1" applyFill="1" applyBorder="1" applyAlignment="1" applyProtection="1">
      <alignment horizontal="right" vertical="center" indent="1"/>
      <protection hidden="1"/>
    </xf>
    <xf numFmtId="43" fontId="11" fillId="2" borderId="19" xfId="0" applyNumberFormat="1" applyFont="1" applyFill="1" applyBorder="1" applyAlignment="1" applyProtection="1">
      <alignment horizontal="right" vertical="center" indent="1"/>
      <protection hidden="1"/>
    </xf>
    <xf numFmtId="0" fontId="12" fillId="2" borderId="9" xfId="0" applyFont="1" applyFill="1" applyBorder="1" applyAlignment="1" applyProtection="1">
      <alignment horizontal="right" vertical="center" indent="1"/>
      <protection hidden="1"/>
    </xf>
    <xf numFmtId="43" fontId="11" fillId="2" borderId="15" xfId="0" applyNumberFormat="1" applyFont="1" applyFill="1" applyBorder="1" applyAlignment="1" applyProtection="1">
      <alignment horizontal="right" vertical="center" indent="1"/>
      <protection hidden="1"/>
    </xf>
    <xf numFmtId="43" fontId="11" fillId="2" borderId="20" xfId="0" applyNumberFormat="1" applyFont="1" applyFill="1" applyBorder="1" applyAlignment="1" applyProtection="1">
      <alignment horizontal="right" vertical="center" indent="1"/>
      <protection hidden="1"/>
    </xf>
    <xf numFmtId="0" fontId="12" fillId="2" borderId="10" xfId="0" applyFont="1" applyFill="1" applyBorder="1" applyAlignment="1" applyProtection="1">
      <alignment horizontal="right" vertical="center" indent="1"/>
      <protection hidden="1"/>
    </xf>
    <xf numFmtId="43" fontId="11" fillId="2" borderId="16" xfId="0" applyNumberFormat="1" applyFont="1" applyFill="1" applyBorder="1" applyAlignment="1" applyProtection="1">
      <alignment horizontal="right" vertical="center" indent="1"/>
      <protection hidden="1"/>
    </xf>
    <xf numFmtId="43" fontId="11" fillId="2" borderId="21" xfId="0" applyNumberFormat="1" applyFont="1" applyFill="1" applyBorder="1" applyAlignment="1" applyProtection="1">
      <alignment horizontal="right" vertical="center" indent="1"/>
      <protection hidden="1"/>
    </xf>
    <xf numFmtId="0" fontId="12" fillId="2" borderId="11" xfId="0" applyFont="1" applyFill="1" applyBorder="1" applyAlignment="1" applyProtection="1">
      <alignment horizontal="center" vertical="center"/>
      <protection hidden="1"/>
    </xf>
    <xf numFmtId="43" fontId="11" fillId="2" borderId="17" xfId="0" applyNumberFormat="1" applyFont="1" applyFill="1" applyBorder="1" applyAlignment="1" applyProtection="1">
      <alignment horizontal="right" vertical="center" indent="1"/>
      <protection hidden="1"/>
    </xf>
    <xf numFmtId="43" fontId="11" fillId="2" borderId="22" xfId="0" applyNumberFormat="1" applyFont="1" applyFill="1" applyBorder="1" applyAlignment="1" applyProtection="1">
      <alignment horizontal="right" vertical="center" indent="1"/>
      <protection hidden="1"/>
    </xf>
    <xf numFmtId="0" fontId="4" fillId="2" borderId="0" xfId="0" applyFont="1" applyFill="1" applyAlignment="1" applyProtection="1">
      <alignment vertical="center"/>
      <protection hidden="1"/>
    </xf>
    <xf numFmtId="10" fontId="5" fillId="2" borderId="0" xfId="0" applyNumberFormat="1" applyFont="1" applyFill="1" applyAlignment="1" applyProtection="1">
      <alignment horizontal="center"/>
      <protection hidden="1"/>
    </xf>
    <xf numFmtId="10" fontId="4" fillId="2" borderId="0" xfId="2" applyNumberFormat="1" applyFont="1" applyFill="1" applyAlignment="1" applyProtection="1">
      <alignment horizontal="right" vertical="center" shrinkToFit="1"/>
      <protection hidden="1"/>
    </xf>
    <xf numFmtId="4" fontId="6" fillId="0" borderId="0" xfId="0" applyNumberFormat="1" applyFont="1" applyAlignment="1" applyProtection="1">
      <alignment vertical="center"/>
      <protection hidden="1"/>
    </xf>
    <xf numFmtId="164" fontId="6" fillId="0" borderId="0" xfId="0" applyNumberFormat="1" applyFont="1" applyAlignment="1" applyProtection="1">
      <alignment vertical="center" shrinkToFit="1"/>
      <protection hidden="1"/>
    </xf>
    <xf numFmtId="0" fontId="8" fillId="2" borderId="0" xfId="0" applyFont="1" applyFill="1" applyAlignment="1" applyProtection="1">
      <alignment horizontal="right" vertical="center" shrinkToFit="1"/>
      <protection hidden="1"/>
    </xf>
    <xf numFmtId="9" fontId="6" fillId="3" borderId="0" xfId="2"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10" fontId="6" fillId="3" borderId="0" xfId="2" applyNumberFormat="1" applyFont="1" applyFill="1" applyAlignment="1" applyProtection="1">
      <alignment horizontal="center" vertical="center"/>
      <protection locked="0"/>
    </xf>
    <xf numFmtId="0" fontId="13" fillId="0" borderId="0" xfId="0" applyFont="1" applyProtection="1">
      <protection hidden="1"/>
    </xf>
    <xf numFmtId="0" fontId="6" fillId="5" borderId="0" xfId="0" applyFont="1" applyFill="1" applyAlignment="1" applyProtection="1">
      <alignment vertical="center"/>
      <protection hidden="1"/>
    </xf>
    <xf numFmtId="0" fontId="5" fillId="2" borderId="0" xfId="0" applyFont="1" applyFill="1" applyAlignment="1" applyProtection="1">
      <alignment vertical="top"/>
      <protection hidden="1"/>
    </xf>
    <xf numFmtId="40" fontId="2" fillId="4" borderId="2" xfId="0" applyNumberFormat="1" applyFont="1" applyFill="1" applyBorder="1" applyAlignment="1" applyProtection="1">
      <alignment vertical="center"/>
      <protection hidden="1"/>
    </xf>
    <xf numFmtId="40" fontId="2" fillId="4" borderId="9" xfId="0" applyNumberFormat="1" applyFont="1" applyFill="1" applyBorder="1" applyAlignment="1" applyProtection="1">
      <alignment vertical="center"/>
      <protection hidden="1"/>
    </xf>
    <xf numFmtId="10" fontId="4" fillId="4" borderId="2" xfId="2" applyNumberFormat="1" applyFont="1" applyFill="1" applyBorder="1" applyAlignment="1" applyProtection="1">
      <alignment horizontal="center" vertical="center"/>
      <protection hidden="1"/>
    </xf>
    <xf numFmtId="10" fontId="2" fillId="4" borderId="2" xfId="2" applyNumberFormat="1" applyFont="1" applyFill="1" applyBorder="1" applyAlignment="1" applyProtection="1">
      <alignment horizontal="center" vertical="center"/>
      <protection hidden="1"/>
    </xf>
    <xf numFmtId="0" fontId="2" fillId="4" borderId="0" xfId="0" applyFont="1" applyFill="1" applyAlignment="1" applyProtection="1">
      <alignment vertical="center"/>
      <protection hidden="1"/>
    </xf>
    <xf numFmtId="0" fontId="18" fillId="4" borderId="4" xfId="0" applyFont="1" applyFill="1" applyBorder="1" applyAlignment="1" applyProtection="1">
      <alignment vertical="center" wrapText="1"/>
      <protection hidden="1"/>
    </xf>
    <xf numFmtId="0" fontId="18" fillId="4" borderId="5" xfId="0" applyFont="1" applyFill="1" applyBorder="1" applyAlignment="1" applyProtection="1">
      <alignment horizontal="center" vertical="center" wrapText="1"/>
      <protection hidden="1"/>
    </xf>
    <xf numFmtId="0" fontId="18" fillId="4" borderId="6" xfId="0" applyFont="1" applyFill="1" applyBorder="1" applyAlignment="1" applyProtection="1">
      <alignment horizontal="center" vertical="center" wrapText="1"/>
      <protection hidden="1"/>
    </xf>
    <xf numFmtId="0" fontId="6" fillId="4" borderId="0" xfId="0" applyFont="1" applyFill="1" applyAlignment="1" applyProtection="1">
      <alignment vertical="center"/>
      <protection hidden="1"/>
    </xf>
    <xf numFmtId="0" fontId="13" fillId="4" borderId="0" xfId="0" applyFont="1" applyFill="1" applyProtection="1">
      <protection hidden="1"/>
    </xf>
    <xf numFmtId="0" fontId="0" fillId="4" borderId="0" xfId="0" applyFill="1" applyProtection="1">
      <protection hidden="1"/>
    </xf>
    <xf numFmtId="0" fontId="20" fillId="4" borderId="0" xfId="0" applyFont="1" applyFill="1" applyAlignment="1" applyProtection="1">
      <alignment vertical="top"/>
      <protection hidden="1"/>
    </xf>
    <xf numFmtId="0" fontId="11" fillId="4" borderId="0" xfId="0" applyFont="1" applyFill="1" applyProtection="1">
      <protection hidden="1"/>
    </xf>
    <xf numFmtId="40" fontId="2" fillId="0" borderId="0" xfId="0" applyNumberFormat="1" applyFont="1" applyFill="1" applyBorder="1" applyAlignment="1" applyProtection="1">
      <alignment horizontal="right" vertical="center" shrinkToFit="1"/>
      <protection hidden="1"/>
    </xf>
    <xf numFmtId="40" fontId="2" fillId="0" borderId="0" xfId="1" applyNumberFormat="1" applyFont="1" applyFill="1" applyBorder="1" applyAlignment="1" applyProtection="1">
      <alignment horizontal="right" vertical="center" shrinkToFit="1"/>
      <protection hidden="1"/>
    </xf>
    <xf numFmtId="40" fontId="6" fillId="0" borderId="0" xfId="0" applyNumberFormat="1" applyFont="1" applyFill="1" applyBorder="1" applyAlignment="1" applyProtection="1">
      <alignment vertical="center" shrinkToFit="1"/>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shrinkToFit="1"/>
      <protection hidden="1"/>
    </xf>
    <xf numFmtId="0" fontId="6" fillId="0" borderId="0" xfId="0" applyFont="1" applyAlignment="1" applyProtection="1">
      <alignment horizontal="center" vertical="center" shrinkToFit="1"/>
      <protection hidden="1"/>
    </xf>
    <xf numFmtId="4" fontId="6" fillId="0" borderId="0" xfId="0" applyNumberFormat="1" applyFont="1" applyAlignment="1" applyProtection="1">
      <alignment vertical="center" shrinkToFit="1"/>
      <protection hidden="1"/>
    </xf>
    <xf numFmtId="2" fontId="6" fillId="0" borderId="0" xfId="0" applyNumberFormat="1" applyFont="1" applyAlignment="1" applyProtection="1">
      <alignment horizontal="center" vertical="center" shrinkToFit="1"/>
      <protection hidden="1"/>
    </xf>
    <xf numFmtId="0" fontId="6" fillId="3" borderId="0" xfId="0" applyFont="1" applyFill="1" applyAlignment="1" applyProtection="1">
      <alignment vertical="center"/>
      <protection locked="0"/>
    </xf>
    <xf numFmtId="0" fontId="6" fillId="0" borderId="0" xfId="0" applyFont="1" applyAlignment="1" applyProtection="1">
      <alignment horizontal="right" vertical="center" shrinkToFit="1"/>
      <protection hidden="1"/>
    </xf>
    <xf numFmtId="0" fontId="12" fillId="2" borderId="7" xfId="0" applyFont="1" applyFill="1" applyBorder="1" applyAlignment="1" applyProtection="1">
      <alignment horizontal="center" vertical="center" shrinkToFit="1"/>
      <protection hidden="1"/>
    </xf>
    <xf numFmtId="43" fontId="11" fillId="2" borderId="26" xfId="0" applyNumberFormat="1" applyFont="1" applyFill="1" applyBorder="1" applyAlignment="1" applyProtection="1">
      <alignment horizontal="right" vertical="center" indent="1"/>
      <protection hidden="1"/>
    </xf>
    <xf numFmtId="44" fontId="6" fillId="0" borderId="0" xfId="4" applyFont="1" applyAlignment="1" applyProtection="1">
      <alignment vertical="center"/>
      <protection hidden="1"/>
    </xf>
    <xf numFmtId="44" fontId="6" fillId="0" borderId="0" xfId="4" applyFont="1" applyAlignment="1" applyProtection="1">
      <alignment vertical="center" shrinkToFit="1"/>
      <protection hidden="1"/>
    </xf>
    <xf numFmtId="0" fontId="0" fillId="2" borderId="29" xfId="0" applyFill="1" applyBorder="1" applyAlignment="1" applyProtection="1">
      <protection hidden="1"/>
    </xf>
    <xf numFmtId="0" fontId="0" fillId="2" borderId="0" xfId="0" applyFill="1" applyBorder="1" applyAlignment="1" applyProtection="1">
      <protection hidden="1"/>
    </xf>
    <xf numFmtId="0" fontId="5" fillId="4" borderId="0" xfId="0" applyFont="1" applyFill="1" applyAlignment="1" applyProtection="1">
      <alignment vertical="center" wrapText="1"/>
      <protection hidden="1"/>
    </xf>
    <xf numFmtId="0" fontId="13" fillId="2" borderId="28" xfId="0" applyFont="1" applyFill="1" applyBorder="1" applyProtection="1">
      <protection hidden="1"/>
    </xf>
    <xf numFmtId="0" fontId="13" fillId="2" borderId="0" xfId="0" applyFont="1" applyFill="1" applyBorder="1" applyProtection="1">
      <protection hidden="1"/>
    </xf>
    <xf numFmtId="0" fontId="5" fillId="2" borderId="32" xfId="0" applyFont="1" applyFill="1" applyBorder="1" applyAlignment="1" applyProtection="1">
      <alignment vertical="center" wrapText="1"/>
      <protection hidden="1"/>
    </xf>
    <xf numFmtId="4" fontId="21" fillId="6" borderId="0" xfId="1" applyNumberFormat="1" applyFont="1" applyFill="1" applyBorder="1" applyAlignment="1" applyProtection="1">
      <alignment horizontal="center" vertical="center"/>
      <protection locked="0"/>
    </xf>
    <xf numFmtId="4" fontId="21" fillId="6" borderId="15" xfId="1" applyNumberFormat="1" applyFont="1" applyFill="1" applyBorder="1" applyAlignment="1" applyProtection="1">
      <alignment horizontal="center" vertical="center"/>
      <protection locked="0"/>
    </xf>
    <xf numFmtId="4" fontId="21" fillId="6" borderId="14" xfId="1" applyNumberFormat="1" applyFont="1" applyFill="1" applyBorder="1" applyAlignment="1" applyProtection="1">
      <alignment horizontal="center" vertical="center"/>
      <protection locked="0"/>
    </xf>
    <xf numFmtId="4" fontId="21" fillId="6" borderId="16" xfId="1" applyNumberFormat="1" applyFont="1" applyFill="1" applyBorder="1" applyAlignment="1" applyProtection="1">
      <alignment horizontal="center" vertical="center"/>
      <protection locked="0"/>
    </xf>
    <xf numFmtId="9" fontId="22" fillId="2" borderId="27" xfId="2" applyNumberFormat="1" applyFont="1" applyFill="1" applyBorder="1" applyAlignment="1" applyProtection="1">
      <alignment horizontal="center" vertical="center"/>
      <protection locked="0"/>
    </xf>
    <xf numFmtId="0" fontId="15" fillId="4" borderId="0" xfId="0" applyFont="1" applyFill="1" applyAlignment="1" applyProtection="1">
      <alignment vertical="center" wrapText="1"/>
      <protection hidden="1"/>
    </xf>
    <xf numFmtId="0" fontId="5" fillId="4" borderId="30" xfId="0" applyFont="1" applyFill="1" applyBorder="1" applyAlignment="1" applyProtection="1">
      <alignment vertical="top" wrapText="1"/>
      <protection hidden="1"/>
    </xf>
    <xf numFmtId="9" fontId="13" fillId="4" borderId="0" xfId="0" applyNumberFormat="1" applyFont="1" applyFill="1" applyProtection="1">
      <protection hidden="1"/>
    </xf>
    <xf numFmtId="0" fontId="5" fillId="4" borderId="0" xfId="0" applyFont="1" applyFill="1" applyBorder="1" applyAlignment="1" applyProtection="1">
      <alignment vertical="top" wrapText="1"/>
      <protection hidden="1"/>
    </xf>
    <xf numFmtId="0" fontId="0" fillId="2" borderId="31" xfId="0" applyFill="1" applyBorder="1" applyAlignment="1" applyProtection="1">
      <protection hidden="1"/>
    </xf>
    <xf numFmtId="0" fontId="19" fillId="4" borderId="0" xfId="0" applyFont="1" applyFill="1" applyAlignment="1" applyProtection="1">
      <alignment vertical="center" wrapText="1"/>
      <protection hidden="1"/>
    </xf>
    <xf numFmtId="0" fontId="25" fillId="4" borderId="0" xfId="0" applyFont="1" applyFill="1" applyProtection="1">
      <protection hidden="1"/>
    </xf>
    <xf numFmtId="0" fontId="25" fillId="4" borderId="0" xfId="0" applyFont="1" applyFill="1" applyAlignment="1" applyProtection="1">
      <protection hidden="1"/>
    </xf>
    <xf numFmtId="0" fontId="21" fillId="2" borderId="37" xfId="0" applyFont="1" applyFill="1" applyBorder="1" applyAlignment="1" applyProtection="1">
      <alignment horizontal="center" vertical="center" shrinkToFit="1"/>
      <protection locked="0"/>
    </xf>
    <xf numFmtId="165" fontId="21" fillId="2" borderId="27" xfId="4" applyNumberFormat="1" applyFont="1" applyFill="1" applyBorder="1" applyAlignment="1" applyProtection="1">
      <alignment horizontal="center" vertical="center" shrinkToFit="1"/>
      <protection locked="0"/>
    </xf>
    <xf numFmtId="0" fontId="6" fillId="2" borderId="0" xfId="0" applyFont="1" applyFill="1" applyAlignment="1" applyProtection="1">
      <alignment vertical="center"/>
      <protection locked="0" hidden="1"/>
    </xf>
    <xf numFmtId="0" fontId="25" fillId="4" borderId="0" xfId="0" applyFont="1" applyFill="1" applyAlignment="1" applyProtection="1">
      <alignment horizontal="left" vertical="center" wrapText="1"/>
      <protection hidden="1"/>
    </xf>
    <xf numFmtId="0" fontId="25" fillId="4" borderId="36" xfId="0" applyFont="1" applyFill="1" applyBorder="1" applyAlignment="1" applyProtection="1">
      <alignment horizontal="left" vertical="center" wrapText="1"/>
      <protection hidden="1"/>
    </xf>
    <xf numFmtId="0" fontId="25" fillId="4" borderId="0" xfId="0" applyFont="1" applyFill="1" applyBorder="1" applyAlignment="1" applyProtection="1">
      <alignment horizontal="left" vertical="center" wrapText="1"/>
      <protection hidden="1"/>
    </xf>
    <xf numFmtId="0" fontId="27" fillId="4" borderId="30" xfId="0" applyFont="1" applyFill="1" applyBorder="1" applyAlignment="1" applyProtection="1">
      <alignment horizontal="left" vertical="center" wrapText="1"/>
      <protection hidden="1"/>
    </xf>
    <xf numFmtId="0" fontId="27" fillId="4" borderId="0" xfId="0" applyFont="1" applyFill="1" applyBorder="1" applyAlignment="1" applyProtection="1">
      <alignment horizontal="left" vertical="center" wrapText="1"/>
      <protection hidden="1"/>
    </xf>
    <xf numFmtId="0" fontId="17" fillId="2" borderId="0" xfId="0" applyFont="1" applyFill="1" applyAlignment="1" applyProtection="1">
      <alignment horizontal="left" shrinkToFit="1"/>
      <protection hidden="1"/>
    </xf>
    <xf numFmtId="0" fontId="17" fillId="0" borderId="0" xfId="0" applyFont="1" applyAlignment="1">
      <alignment horizontal="left" shrinkToFit="1"/>
    </xf>
    <xf numFmtId="0" fontId="23" fillId="2" borderId="0" xfId="0" applyFont="1" applyFill="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2" fillId="2" borderId="1" xfId="0" applyFont="1" applyFill="1" applyBorder="1" applyAlignment="1" applyProtection="1">
      <alignment horizontal="right" vertical="center" indent="1" shrinkToFit="1"/>
      <protection hidden="1"/>
    </xf>
    <xf numFmtId="0" fontId="6" fillId="2" borderId="33" xfId="0" applyFont="1" applyFill="1" applyBorder="1" applyAlignment="1" applyProtection="1">
      <alignment horizontal="right" vertical="center" indent="1" shrinkToFit="1"/>
      <protection hidden="1"/>
    </xf>
    <xf numFmtId="0" fontId="2" fillId="2" borderId="2" xfId="0" applyFont="1" applyFill="1" applyBorder="1" applyAlignment="1" applyProtection="1">
      <alignment horizontal="right" vertical="center" indent="1" shrinkToFit="1"/>
      <protection hidden="1"/>
    </xf>
    <xf numFmtId="0" fontId="6" fillId="2" borderId="34" xfId="0" applyFont="1" applyFill="1" applyBorder="1" applyAlignment="1" applyProtection="1">
      <alignment horizontal="right" vertical="center" indent="1" shrinkToFit="1"/>
      <protection hidden="1"/>
    </xf>
    <xf numFmtId="0" fontId="2" fillId="2" borderId="3" xfId="0" applyFont="1" applyFill="1" applyBorder="1" applyAlignment="1" applyProtection="1">
      <alignment horizontal="right" vertical="center" indent="1" shrinkToFit="1"/>
      <protection hidden="1"/>
    </xf>
    <xf numFmtId="0" fontId="6" fillId="2" borderId="35" xfId="0" applyFont="1" applyFill="1" applyBorder="1" applyAlignment="1" applyProtection="1">
      <alignment horizontal="right" vertical="center" indent="1" shrinkToFit="1"/>
      <protection hidden="1"/>
    </xf>
    <xf numFmtId="0" fontId="24" fillId="2" borderId="0" xfId="0" applyFont="1" applyFill="1" applyAlignment="1" applyProtection="1">
      <alignment horizontal="center" vertical="top" wrapText="1"/>
      <protection hidden="1"/>
    </xf>
    <xf numFmtId="0" fontId="6" fillId="2" borderId="23" xfId="0" applyFont="1" applyFill="1" applyBorder="1" applyAlignment="1" applyProtection="1">
      <alignment horizontal="right" vertical="center" indent="1" shrinkToFit="1"/>
      <protection hidden="1"/>
    </xf>
    <xf numFmtId="0" fontId="6" fillId="2" borderId="24" xfId="0" applyFont="1" applyFill="1" applyBorder="1" applyAlignment="1" applyProtection="1">
      <alignment horizontal="right" vertical="center" indent="1" shrinkToFit="1"/>
      <protection hidden="1"/>
    </xf>
    <xf numFmtId="0" fontId="6" fillId="2" borderId="25" xfId="0" applyFont="1" applyFill="1" applyBorder="1" applyAlignment="1" applyProtection="1">
      <alignment horizontal="right" vertical="center" indent="1" shrinkToFit="1"/>
      <protection hidden="1"/>
    </xf>
    <xf numFmtId="0" fontId="18" fillId="4" borderId="4" xfId="0" applyFont="1" applyFill="1" applyBorder="1" applyAlignment="1" applyProtection="1">
      <alignment horizontal="center" vertical="center" wrapText="1"/>
      <protection hidden="1"/>
    </xf>
    <xf numFmtId="0" fontId="18" fillId="4" borderId="12" xfId="0" applyFont="1" applyFill="1" applyBorder="1" applyAlignment="1" applyProtection="1">
      <alignment horizontal="center" vertical="center" wrapText="1"/>
      <protection hidden="1"/>
    </xf>
    <xf numFmtId="0" fontId="2" fillId="4" borderId="0" xfId="0" applyFont="1" applyFill="1" applyAlignment="1" applyProtection="1">
      <alignment horizontal="center" vertical="center" wrapText="1" shrinkToFit="1"/>
      <protection hidden="1"/>
    </xf>
    <xf numFmtId="0" fontId="2" fillId="4" borderId="0" xfId="0" applyFont="1" applyFill="1" applyAlignment="1" applyProtection="1">
      <alignment horizontal="center" vertical="center" shrinkToFit="1"/>
      <protection hidden="1"/>
    </xf>
    <xf numFmtId="0" fontId="28" fillId="4" borderId="0" xfId="0" applyFont="1" applyFill="1" applyAlignment="1" applyProtection="1">
      <alignment horizontal="center" vertical="center" wrapText="1"/>
      <protection hidden="1"/>
    </xf>
    <xf numFmtId="0" fontId="14" fillId="4" borderId="0" xfId="3" applyFill="1" applyAlignment="1" applyProtection="1">
      <alignment horizontal="center" vertical="center" wrapText="1"/>
      <protection hidden="1"/>
    </xf>
    <xf numFmtId="0" fontId="14" fillId="4" borderId="0" xfId="3" applyFill="1" applyAlignment="1" applyProtection="1">
      <alignment horizontal="center" wrapText="1"/>
      <protection hidden="1"/>
    </xf>
    <xf numFmtId="0" fontId="14" fillId="4" borderId="0" xfId="3" applyFill="1" applyAlignment="1" applyProtection="1">
      <alignment horizontal="center" vertical="top" wrapText="1"/>
      <protection hidden="1"/>
    </xf>
    <xf numFmtId="0" fontId="15" fillId="4" borderId="0" xfId="0" quotePrefix="1"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0" fillId="4" borderId="0" xfId="0" applyFill="1" applyBorder="1" applyAlignment="1">
      <alignment horizontal="center" vertical="center"/>
    </xf>
  </cellXfs>
  <cellStyles count="5">
    <cellStyle name="Hiperlink" xfId="3" builtinId="8"/>
    <cellStyle name="Moeda" xfId="4" builtinId="4"/>
    <cellStyle name="Normal" xfId="0" builtinId="0"/>
    <cellStyle name="Porcentagem" xfId="2" builtinId="5"/>
    <cellStyle name="Vírgula" xfId="1" builtinId="3"/>
  </cellStyles>
  <dxfs count="26">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dxf>
    <dxf>
      <font>
        <color rgb="FFFF0000"/>
      </font>
    </dxf>
    <dxf>
      <font>
        <color rgb="FFFF0000"/>
      </font>
    </dxf>
    <dxf>
      <font>
        <color theme="0" tint="-0.14996795556505021"/>
      </font>
      <border>
        <left/>
        <right/>
        <top/>
        <bottom/>
        <vertical/>
        <horizontal/>
      </border>
    </dxf>
    <dxf>
      <font>
        <color rgb="FFFF0000"/>
      </font>
    </dxf>
    <dxf>
      <font>
        <color rgb="FFFF0000"/>
      </font>
    </dxf>
    <dxf>
      <font>
        <color rgb="FFFF0000"/>
      </font>
    </dxf>
    <dxf>
      <font>
        <color theme="0" tint="-0.14996795556505021"/>
      </font>
      <border>
        <left/>
        <right/>
        <top/>
        <bottom/>
        <vertical/>
        <horizontal/>
      </border>
    </dxf>
  </dxfs>
  <tableStyles count="0" defaultTableStyle="TableStyleMedium9" defaultPivotStyle="PivotStyleLight16"/>
  <colors>
    <mruColors>
      <color rgb="FF0066FF"/>
      <color rgb="FF99FF33"/>
      <color rgb="FFCC0000"/>
      <color rgb="FFFDFDFD"/>
      <color rgb="FFFAFAFA"/>
      <color rgb="FFF8F8F8"/>
      <color rgb="FF30414F"/>
      <color rgb="FFCCFFFF"/>
      <color rgb="FFCCECFF"/>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2.450457978466981E-2"/>
          <c:y val="0.17892933194671456"/>
          <c:w val="0.94364149357425287"/>
          <c:h val="0.57147427326301337"/>
        </c:manualLayout>
      </c:layout>
      <c:barChart>
        <c:barDir val="col"/>
        <c:grouping val="clustered"/>
        <c:varyColors val="0"/>
        <c:ser>
          <c:idx val="0"/>
          <c:order val="0"/>
          <c:tx>
            <c:strRef>
              <c:f>Soc!$E$7</c:f>
              <c:strCache>
                <c:ptCount val="1"/>
                <c:pt idx="0">
                  <c:v>Lucro Presumido</c:v>
                </c:pt>
              </c:strCache>
            </c:strRef>
          </c:tx>
          <c:invertIfNegative val="0"/>
          <c:dLbls>
            <c:txPr>
              <a:bodyPr rot="-5400000" vert="horz"/>
              <a:lstStyle/>
              <a:p>
                <a:pPr>
                  <a:defRPr/>
                </a:pPr>
                <a:endParaRPr lang="pt-BR"/>
              </a:p>
            </c:txPr>
            <c:dLblPos val="inBase"/>
            <c:showLegendKey val="0"/>
            <c:showVal val="1"/>
            <c:showCatName val="0"/>
            <c:showSerName val="0"/>
            <c:showPercent val="0"/>
            <c:showBubbleSize val="0"/>
            <c:showLeaderLines val="0"/>
          </c:dLbls>
          <c:cat>
            <c:strRef>
              <c:f>Soc!$C$8:$C$14</c:f>
              <c:strCache>
                <c:ptCount val="7"/>
                <c:pt idx="0">
                  <c:v>ISSQN</c:v>
                </c:pt>
                <c:pt idx="1">
                  <c:v>PIS</c:v>
                </c:pt>
                <c:pt idx="2">
                  <c:v>COFINS</c:v>
                </c:pt>
                <c:pt idx="3">
                  <c:v>CSLL</c:v>
                </c:pt>
                <c:pt idx="4">
                  <c:v>IRPJ</c:v>
                </c:pt>
                <c:pt idx="5">
                  <c:v>IRPJ Adicional</c:v>
                </c:pt>
                <c:pt idx="6">
                  <c:v>INSS</c:v>
                </c:pt>
              </c:strCache>
            </c:strRef>
          </c:cat>
          <c:val>
            <c:numRef>
              <c:f>Soc!$E$8:$E$14</c:f>
              <c:numCache>
                <c:formatCode>_(* #,##0.00_);_(* \(#,##0.00\);_(* "-"??_);_(@_)</c:formatCode>
                <c:ptCount val="7"/>
                <c:pt idx="0">
                  <c:v>0</c:v>
                </c:pt>
                <c:pt idx="1">
                  <c:v>0</c:v>
                </c:pt>
                <c:pt idx="2">
                  <c:v>0</c:v>
                </c:pt>
                <c:pt idx="3">
                  <c:v>0</c:v>
                </c:pt>
                <c:pt idx="4">
                  <c:v>0</c:v>
                </c:pt>
                <c:pt idx="5">
                  <c:v>0</c:v>
                </c:pt>
                <c:pt idx="6">
                  <c:v>0</c:v>
                </c:pt>
              </c:numCache>
            </c:numRef>
          </c:val>
        </c:ser>
        <c:ser>
          <c:idx val="1"/>
          <c:order val="1"/>
          <c:tx>
            <c:strRef>
              <c:f>Soc!$F$7</c:f>
              <c:strCache>
                <c:ptCount val="1"/>
                <c:pt idx="0">
                  <c:v>Simples Nacional</c:v>
                </c:pt>
              </c:strCache>
            </c:strRef>
          </c:tx>
          <c:invertIfNegative val="0"/>
          <c:dLbls>
            <c:txPr>
              <a:bodyPr rot="-5400000" vert="horz"/>
              <a:lstStyle/>
              <a:p>
                <a:pPr>
                  <a:defRPr/>
                </a:pPr>
                <a:endParaRPr lang="pt-BR"/>
              </a:p>
            </c:txPr>
            <c:dLblPos val="inBase"/>
            <c:showLegendKey val="0"/>
            <c:showVal val="1"/>
            <c:showCatName val="0"/>
            <c:showSerName val="0"/>
            <c:showPercent val="0"/>
            <c:showBubbleSize val="0"/>
            <c:showLeaderLines val="0"/>
          </c:dLbls>
          <c:cat>
            <c:strRef>
              <c:f>Soc!$C$8:$C$14</c:f>
              <c:strCache>
                <c:ptCount val="7"/>
                <c:pt idx="0">
                  <c:v>ISSQN</c:v>
                </c:pt>
                <c:pt idx="1">
                  <c:v>PIS</c:v>
                </c:pt>
                <c:pt idx="2">
                  <c:v>COFINS</c:v>
                </c:pt>
                <c:pt idx="3">
                  <c:v>CSLL</c:v>
                </c:pt>
                <c:pt idx="4">
                  <c:v>IRPJ</c:v>
                </c:pt>
                <c:pt idx="5">
                  <c:v>IRPJ Adicional</c:v>
                </c:pt>
                <c:pt idx="6">
                  <c:v>INSS</c:v>
                </c:pt>
              </c:strCache>
            </c:strRef>
          </c:cat>
          <c:val>
            <c:numRef>
              <c:f>Soc!$F$8:$F$14</c:f>
              <c:numCache>
                <c:formatCode>_(* #,##0.00_);_(* \(#,##0.00\);_(* "-"??_);_(@_)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7"/>
        <c:overlap val="-1"/>
        <c:axId val="77856128"/>
        <c:axId val="77874304"/>
      </c:barChart>
      <c:catAx>
        <c:axId val="77856128"/>
        <c:scaling>
          <c:orientation val="minMax"/>
        </c:scaling>
        <c:delete val="0"/>
        <c:axPos val="b"/>
        <c:majorGridlines/>
        <c:majorTickMark val="out"/>
        <c:minorTickMark val="none"/>
        <c:tickLblPos val="low"/>
        <c:crossAx val="77874304"/>
        <c:crosses val="autoZero"/>
        <c:auto val="1"/>
        <c:lblAlgn val="ctr"/>
        <c:lblOffset val="100"/>
        <c:noMultiLvlLbl val="0"/>
      </c:catAx>
      <c:valAx>
        <c:axId val="77874304"/>
        <c:scaling>
          <c:orientation val="minMax"/>
        </c:scaling>
        <c:delete val="1"/>
        <c:axPos val="l"/>
        <c:numFmt formatCode="_(* #,##0.00_);_(* \(#,##0.00\);_(* &quot;-&quot;??_);_(@_)" sourceLinked="1"/>
        <c:majorTickMark val="out"/>
        <c:minorTickMark val="none"/>
        <c:tickLblPos val="none"/>
        <c:crossAx val="77856128"/>
        <c:crosses val="autoZero"/>
        <c:crossBetween val="between"/>
      </c:valAx>
    </c:plotArea>
    <c:legend>
      <c:legendPos val="t"/>
      <c:layout>
        <c:manualLayout>
          <c:xMode val="edge"/>
          <c:yMode val="edge"/>
          <c:x val="4.1694067288349054E-2"/>
          <c:y val="5.9364631307879161E-2"/>
          <c:w val="0.69805285465736355"/>
          <c:h val="9.4126777718048948E-2"/>
        </c:manualLayout>
      </c:layout>
      <c:overlay val="0"/>
    </c:legend>
    <c:plotVisOnly val="1"/>
    <c:dispBlanksAs val="gap"/>
    <c:showDLblsOverMax val="0"/>
  </c:chart>
  <c:printSettings>
    <c:headerFooter/>
    <c:pageMargins b="0.78740157499999996" l="0.511811024" r="0.511811024" t="0.78740157499999996" header="0.31496062000000247" footer="0.3149606200000024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5758471945715691"/>
          <c:y val="3.6003720299185284E-2"/>
          <c:w val="0.83376291786420853"/>
          <c:h val="0.85777757869127824"/>
        </c:manualLayout>
      </c:layout>
      <c:barChart>
        <c:barDir val="bar"/>
        <c:grouping val="clustered"/>
        <c:varyColors val="0"/>
        <c:ser>
          <c:idx val="0"/>
          <c:order val="0"/>
          <c:invertIfNegative val="0"/>
          <c:dLbls>
            <c:dLbl>
              <c:idx val="0"/>
              <c:layout>
                <c:manualLayout>
                  <c:x val="5.7924582080467767E-2"/>
                  <c:y val="-1.7093994085747244E-2"/>
                </c:manualLayout>
              </c:layout>
              <c:dLblPos val="inBase"/>
              <c:showLegendKey val="0"/>
              <c:showVal val="1"/>
              <c:showCatName val="0"/>
              <c:showSerName val="0"/>
              <c:showPercent val="0"/>
              <c:showBubbleSize val="0"/>
            </c:dLbl>
            <c:numFmt formatCode="_(* #,##0.00_);_(* \(#,##0.00\);_(* &quot;-&quot;??_);_(@_)" sourceLinked="0"/>
            <c:dLblPos val="outEnd"/>
            <c:showLegendKey val="0"/>
            <c:showVal val="1"/>
            <c:showCatName val="0"/>
            <c:showSerName val="0"/>
            <c:showPercent val="0"/>
            <c:showBubbleSize val="0"/>
            <c:showLeaderLines val="0"/>
          </c:dLbls>
          <c:cat>
            <c:strRef>
              <c:f>Dados!$B$2:$B$3</c:f>
              <c:strCache>
                <c:ptCount val="2"/>
                <c:pt idx="0">
                  <c:v>Economia Ano</c:v>
                </c:pt>
                <c:pt idx="1">
                  <c:v>Economia Mês</c:v>
                </c:pt>
              </c:strCache>
            </c:strRef>
          </c:cat>
          <c:val>
            <c:numRef>
              <c:f>Dados!$C$2:$C$3</c:f>
              <c:numCache>
                <c:formatCode>#,##0.00_ ;\-#,##0.00\ </c:formatCode>
                <c:ptCount val="2"/>
                <c:pt idx="0">
                  <c:v>0</c:v>
                </c:pt>
                <c:pt idx="1">
                  <c:v>0</c:v>
                </c:pt>
              </c:numCache>
            </c:numRef>
          </c:val>
        </c:ser>
        <c:dLbls>
          <c:showLegendKey val="0"/>
          <c:showVal val="0"/>
          <c:showCatName val="0"/>
          <c:showSerName val="0"/>
          <c:showPercent val="0"/>
          <c:showBubbleSize val="0"/>
        </c:dLbls>
        <c:gapWidth val="34"/>
        <c:axId val="77902976"/>
        <c:axId val="77904512"/>
      </c:barChart>
      <c:catAx>
        <c:axId val="77902976"/>
        <c:scaling>
          <c:orientation val="minMax"/>
        </c:scaling>
        <c:delete val="0"/>
        <c:axPos val="l"/>
        <c:majorTickMark val="out"/>
        <c:minorTickMark val="none"/>
        <c:tickLblPos val="nextTo"/>
        <c:crossAx val="77904512"/>
        <c:crosses val="autoZero"/>
        <c:auto val="1"/>
        <c:lblAlgn val="ctr"/>
        <c:lblOffset val="100"/>
        <c:noMultiLvlLbl val="0"/>
      </c:catAx>
      <c:valAx>
        <c:axId val="77904512"/>
        <c:scaling>
          <c:orientation val="minMax"/>
        </c:scaling>
        <c:delete val="1"/>
        <c:axPos val="b"/>
        <c:numFmt formatCode="#,##0.00_ ;\-#,##0.00\ " sourceLinked="1"/>
        <c:majorTickMark val="out"/>
        <c:minorTickMark val="none"/>
        <c:tickLblPos val="none"/>
        <c:crossAx val="77902976"/>
        <c:crosses val="autoZero"/>
        <c:crossBetween val="between"/>
      </c:valAx>
    </c:plotArea>
    <c:plotVisOnly val="1"/>
    <c:dispBlanksAs val="gap"/>
    <c:showDLblsOverMax val="0"/>
  </c:chart>
  <c:printSettings>
    <c:headerFooter/>
    <c:pageMargins b="0.78740157499999996" l="0.511811024" r="0.511811024" t="0.78740157499999996" header="0.31496062000000274" footer="0.3149606200000027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2121294264446495"/>
          <c:y val="2.7824393044619644E-2"/>
          <c:w val="0.70804203777806474"/>
          <c:h val="0.81319706248840684"/>
        </c:manualLayout>
      </c:layout>
      <c:barChart>
        <c:barDir val="col"/>
        <c:grouping val="stacked"/>
        <c:varyColors val="0"/>
        <c:ser>
          <c:idx val="0"/>
          <c:order val="0"/>
          <c:tx>
            <c:strRef>
              <c:f>Soc!$C$8</c:f>
              <c:strCache>
                <c:ptCount val="1"/>
                <c:pt idx="0">
                  <c:v>ISSQN</c:v>
                </c:pt>
              </c:strCache>
            </c:strRef>
          </c:tx>
          <c:invertIfNegative val="0"/>
          <c:cat>
            <c:strRef>
              <c:f>Soc!$D$7:$F$7</c:f>
              <c:strCache>
                <c:ptCount val="3"/>
                <c:pt idx="0">
                  <c:v>Lucro Real</c:v>
                </c:pt>
                <c:pt idx="1">
                  <c:v>Lucro Presumido</c:v>
                </c:pt>
                <c:pt idx="2">
                  <c:v>Simples Nacional</c:v>
                </c:pt>
              </c:strCache>
            </c:strRef>
          </c:cat>
          <c:val>
            <c:numRef>
              <c:f>Soc!$D$8:$F$8</c:f>
              <c:numCache>
                <c:formatCode>_(* #,##0.00_);_(* \(#,##0.00\);_(* "-"??_);_(@_)</c:formatCode>
                <c:ptCount val="3"/>
                <c:pt idx="0">
                  <c:v>0</c:v>
                </c:pt>
                <c:pt idx="1">
                  <c:v>0</c:v>
                </c:pt>
                <c:pt idx="2">
                  <c:v>0</c:v>
                </c:pt>
              </c:numCache>
            </c:numRef>
          </c:val>
        </c:ser>
        <c:ser>
          <c:idx val="1"/>
          <c:order val="1"/>
          <c:tx>
            <c:strRef>
              <c:f>Soc!$C$9</c:f>
              <c:strCache>
                <c:ptCount val="1"/>
                <c:pt idx="0">
                  <c:v>PIS</c:v>
                </c:pt>
              </c:strCache>
            </c:strRef>
          </c:tx>
          <c:invertIfNegative val="0"/>
          <c:cat>
            <c:strRef>
              <c:f>Soc!$D$7:$F$7</c:f>
              <c:strCache>
                <c:ptCount val="3"/>
                <c:pt idx="0">
                  <c:v>Lucro Real</c:v>
                </c:pt>
                <c:pt idx="1">
                  <c:v>Lucro Presumido</c:v>
                </c:pt>
                <c:pt idx="2">
                  <c:v>Simples Nacional</c:v>
                </c:pt>
              </c:strCache>
            </c:strRef>
          </c:cat>
          <c:val>
            <c:numRef>
              <c:f>Soc!$D$9:$F$9</c:f>
              <c:numCache>
                <c:formatCode>_(* #,##0.00_);_(* \(#,##0.00\);_(* "-"??_);_(@_)</c:formatCode>
                <c:ptCount val="3"/>
                <c:pt idx="0">
                  <c:v>0</c:v>
                </c:pt>
                <c:pt idx="1">
                  <c:v>0</c:v>
                </c:pt>
                <c:pt idx="2">
                  <c:v>0</c:v>
                </c:pt>
              </c:numCache>
            </c:numRef>
          </c:val>
        </c:ser>
        <c:ser>
          <c:idx val="2"/>
          <c:order val="2"/>
          <c:tx>
            <c:strRef>
              <c:f>Soc!$C$10</c:f>
              <c:strCache>
                <c:ptCount val="1"/>
                <c:pt idx="0">
                  <c:v>COFINS</c:v>
                </c:pt>
              </c:strCache>
            </c:strRef>
          </c:tx>
          <c:invertIfNegative val="0"/>
          <c:cat>
            <c:strRef>
              <c:f>Soc!$D$7:$F$7</c:f>
              <c:strCache>
                <c:ptCount val="3"/>
                <c:pt idx="0">
                  <c:v>Lucro Real</c:v>
                </c:pt>
                <c:pt idx="1">
                  <c:v>Lucro Presumido</c:v>
                </c:pt>
                <c:pt idx="2">
                  <c:v>Simples Nacional</c:v>
                </c:pt>
              </c:strCache>
            </c:strRef>
          </c:cat>
          <c:val>
            <c:numRef>
              <c:f>Soc!$D$10:$F$10</c:f>
              <c:numCache>
                <c:formatCode>_(* #,##0.00_);_(* \(#,##0.00\);_(* "-"??_);_(@_)</c:formatCode>
                <c:ptCount val="3"/>
                <c:pt idx="0">
                  <c:v>0</c:v>
                </c:pt>
                <c:pt idx="1">
                  <c:v>0</c:v>
                </c:pt>
                <c:pt idx="2">
                  <c:v>0</c:v>
                </c:pt>
              </c:numCache>
            </c:numRef>
          </c:val>
        </c:ser>
        <c:ser>
          <c:idx val="3"/>
          <c:order val="3"/>
          <c:tx>
            <c:strRef>
              <c:f>Soc!$C$11</c:f>
              <c:strCache>
                <c:ptCount val="1"/>
                <c:pt idx="0">
                  <c:v>CSLL</c:v>
                </c:pt>
              </c:strCache>
            </c:strRef>
          </c:tx>
          <c:invertIfNegative val="0"/>
          <c:cat>
            <c:strRef>
              <c:f>Soc!$D$7:$F$7</c:f>
              <c:strCache>
                <c:ptCount val="3"/>
                <c:pt idx="0">
                  <c:v>Lucro Real</c:v>
                </c:pt>
                <c:pt idx="1">
                  <c:v>Lucro Presumido</c:v>
                </c:pt>
                <c:pt idx="2">
                  <c:v>Simples Nacional</c:v>
                </c:pt>
              </c:strCache>
            </c:strRef>
          </c:cat>
          <c:val>
            <c:numRef>
              <c:f>Soc!$D$11:$F$11</c:f>
              <c:numCache>
                <c:formatCode>_(* #,##0.00_);_(* \(#,##0.00\);_(* "-"??_);_(@_)</c:formatCode>
                <c:ptCount val="3"/>
                <c:pt idx="0">
                  <c:v>0</c:v>
                </c:pt>
                <c:pt idx="1">
                  <c:v>0</c:v>
                </c:pt>
                <c:pt idx="2">
                  <c:v>0</c:v>
                </c:pt>
              </c:numCache>
            </c:numRef>
          </c:val>
        </c:ser>
        <c:ser>
          <c:idx val="4"/>
          <c:order val="4"/>
          <c:tx>
            <c:strRef>
              <c:f>Soc!$C$12</c:f>
              <c:strCache>
                <c:ptCount val="1"/>
                <c:pt idx="0">
                  <c:v>IRPJ</c:v>
                </c:pt>
              </c:strCache>
            </c:strRef>
          </c:tx>
          <c:invertIfNegative val="0"/>
          <c:cat>
            <c:strRef>
              <c:f>Soc!$D$7:$F$7</c:f>
              <c:strCache>
                <c:ptCount val="3"/>
                <c:pt idx="0">
                  <c:v>Lucro Real</c:v>
                </c:pt>
                <c:pt idx="1">
                  <c:v>Lucro Presumido</c:v>
                </c:pt>
                <c:pt idx="2">
                  <c:v>Simples Nacional</c:v>
                </c:pt>
              </c:strCache>
            </c:strRef>
          </c:cat>
          <c:val>
            <c:numRef>
              <c:f>Soc!$D$12:$F$12</c:f>
              <c:numCache>
                <c:formatCode>_(* #,##0.00_);_(* \(#,##0.00\);_(* "-"??_);_(@_)</c:formatCode>
                <c:ptCount val="3"/>
                <c:pt idx="0">
                  <c:v>0</c:v>
                </c:pt>
                <c:pt idx="1">
                  <c:v>0</c:v>
                </c:pt>
                <c:pt idx="2">
                  <c:v>0</c:v>
                </c:pt>
              </c:numCache>
            </c:numRef>
          </c:val>
        </c:ser>
        <c:ser>
          <c:idx val="5"/>
          <c:order val="5"/>
          <c:tx>
            <c:strRef>
              <c:f>Soc!$C$13</c:f>
              <c:strCache>
                <c:ptCount val="1"/>
                <c:pt idx="0">
                  <c:v>IRPJ Adicional</c:v>
                </c:pt>
              </c:strCache>
            </c:strRef>
          </c:tx>
          <c:invertIfNegative val="0"/>
          <c:cat>
            <c:strRef>
              <c:f>Soc!$D$7:$F$7</c:f>
              <c:strCache>
                <c:ptCount val="3"/>
                <c:pt idx="0">
                  <c:v>Lucro Real</c:v>
                </c:pt>
                <c:pt idx="1">
                  <c:v>Lucro Presumido</c:v>
                </c:pt>
                <c:pt idx="2">
                  <c:v>Simples Nacional</c:v>
                </c:pt>
              </c:strCache>
            </c:strRef>
          </c:cat>
          <c:val>
            <c:numRef>
              <c:f>Soc!$D$13:$F$13</c:f>
              <c:numCache>
                <c:formatCode>_(* #,##0.00_);_(* \(#,##0.00\);_(* "-"??_);_(@_)</c:formatCode>
                <c:ptCount val="3"/>
                <c:pt idx="0">
                  <c:v>0</c:v>
                </c:pt>
                <c:pt idx="1">
                  <c:v>0</c:v>
                </c:pt>
                <c:pt idx="2">
                  <c:v>0</c:v>
                </c:pt>
              </c:numCache>
            </c:numRef>
          </c:val>
        </c:ser>
        <c:ser>
          <c:idx val="6"/>
          <c:order val="6"/>
          <c:tx>
            <c:strRef>
              <c:f>Soc!$C$14</c:f>
              <c:strCache>
                <c:ptCount val="1"/>
                <c:pt idx="0">
                  <c:v>INSS</c:v>
                </c:pt>
              </c:strCache>
            </c:strRef>
          </c:tx>
          <c:invertIfNegative val="0"/>
          <c:cat>
            <c:strRef>
              <c:f>Soc!$D$7:$F$7</c:f>
              <c:strCache>
                <c:ptCount val="3"/>
                <c:pt idx="0">
                  <c:v>Lucro Real</c:v>
                </c:pt>
                <c:pt idx="1">
                  <c:v>Lucro Presumido</c:v>
                </c:pt>
                <c:pt idx="2">
                  <c:v>Simples Nacional</c:v>
                </c:pt>
              </c:strCache>
            </c:strRef>
          </c:cat>
          <c:val>
            <c:numRef>
              <c:f>Soc!$D$14:$F$14</c:f>
              <c:numCache>
                <c:formatCode>_(* #,##0.00_);_(* \(#,##0.00\);_(* "-"??_);_(@_)</c:formatCode>
                <c:ptCount val="3"/>
                <c:pt idx="0">
                  <c:v>0</c:v>
                </c:pt>
                <c:pt idx="1">
                  <c:v>0</c:v>
                </c:pt>
                <c:pt idx="2">
                  <c:v>0</c:v>
                </c:pt>
              </c:numCache>
            </c:numRef>
          </c:val>
        </c:ser>
        <c:dLbls>
          <c:showLegendKey val="0"/>
          <c:showVal val="0"/>
          <c:showCatName val="0"/>
          <c:showSerName val="0"/>
          <c:showPercent val="0"/>
          <c:showBubbleSize val="0"/>
        </c:dLbls>
        <c:gapWidth val="218"/>
        <c:overlap val="100"/>
        <c:axId val="78027392"/>
        <c:axId val="78033280"/>
      </c:barChart>
      <c:catAx>
        <c:axId val="78027392"/>
        <c:scaling>
          <c:orientation val="minMax"/>
        </c:scaling>
        <c:delete val="0"/>
        <c:axPos val="b"/>
        <c:majorGridlines/>
        <c:majorTickMark val="out"/>
        <c:minorTickMark val="none"/>
        <c:tickLblPos val="nextTo"/>
        <c:crossAx val="78033280"/>
        <c:crosses val="autoZero"/>
        <c:auto val="1"/>
        <c:lblAlgn val="ctr"/>
        <c:lblOffset val="100"/>
        <c:noMultiLvlLbl val="0"/>
      </c:catAx>
      <c:valAx>
        <c:axId val="78033280"/>
        <c:scaling>
          <c:orientation val="minMax"/>
        </c:scaling>
        <c:delete val="1"/>
        <c:axPos val="l"/>
        <c:numFmt formatCode="_(* #,##0.00_);_(* \(#,##0.00\);_(* &quot;-&quot;??_);_(@_)" sourceLinked="1"/>
        <c:majorTickMark val="out"/>
        <c:minorTickMark val="none"/>
        <c:tickLblPos val="none"/>
        <c:crossAx val="78027392"/>
        <c:crosses val="autoZero"/>
        <c:crossBetween val="between"/>
      </c:valAx>
    </c:plotArea>
    <c:legend>
      <c:legendPos val="r"/>
      <c:layout>
        <c:manualLayout>
          <c:xMode val="edge"/>
          <c:yMode val="edge"/>
          <c:x val="1.8518518518518583E-2"/>
          <c:y val="4.4882420000531019E-2"/>
          <c:w val="0.19952045953272282"/>
          <c:h val="0.86550743145968589"/>
        </c:manualLayout>
      </c:layout>
      <c:overlay val="0"/>
    </c:legend>
    <c:plotVisOnly val="1"/>
    <c:dispBlanksAs val="gap"/>
    <c:showDLblsOverMax val="0"/>
  </c:chart>
  <c:printSettings>
    <c:headerFooter/>
    <c:pageMargins b="0.78740157499999996" l="0.511811024" r="0.511811024" t="0.78740157499999996" header="0.31496062000000358" footer="0.31496062000000358"/>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2.450457978466981E-2"/>
          <c:y val="0.17892933194671462"/>
          <c:w val="0.94364149357425331"/>
          <c:h val="0.57147427326301381"/>
        </c:manualLayout>
      </c:layout>
      <c:barChart>
        <c:barDir val="col"/>
        <c:grouping val="clustered"/>
        <c:varyColors val="0"/>
        <c:ser>
          <c:idx val="0"/>
          <c:order val="0"/>
          <c:tx>
            <c:strRef>
              <c:f>Porc!$E$7</c:f>
              <c:strCache>
                <c:ptCount val="1"/>
                <c:pt idx="0">
                  <c:v>Lucro Presumido</c:v>
                </c:pt>
              </c:strCache>
            </c:strRef>
          </c:tx>
          <c:invertIfNegative val="0"/>
          <c:dLbls>
            <c:txPr>
              <a:bodyPr rot="-5400000" vert="horz"/>
              <a:lstStyle/>
              <a:p>
                <a:pPr>
                  <a:defRPr/>
                </a:pPr>
                <a:endParaRPr lang="pt-BR"/>
              </a:p>
            </c:txPr>
            <c:dLblPos val="inBase"/>
            <c:showLegendKey val="0"/>
            <c:showVal val="1"/>
            <c:showCatName val="0"/>
            <c:showSerName val="0"/>
            <c:showPercent val="0"/>
            <c:showBubbleSize val="0"/>
            <c:showLeaderLines val="0"/>
          </c:dLbls>
          <c:cat>
            <c:strRef>
              <c:f>Porc!$C$8:$C$14</c:f>
              <c:strCache>
                <c:ptCount val="7"/>
                <c:pt idx="0">
                  <c:v>ISSQN</c:v>
                </c:pt>
                <c:pt idx="1">
                  <c:v>PIS</c:v>
                </c:pt>
                <c:pt idx="2">
                  <c:v>COFINS</c:v>
                </c:pt>
                <c:pt idx="3">
                  <c:v>CSLL</c:v>
                </c:pt>
                <c:pt idx="4">
                  <c:v>IRPJ</c:v>
                </c:pt>
                <c:pt idx="5">
                  <c:v>IRPJ Adicional</c:v>
                </c:pt>
                <c:pt idx="6">
                  <c:v>INSS</c:v>
                </c:pt>
              </c:strCache>
            </c:strRef>
          </c:cat>
          <c:val>
            <c:numRef>
              <c:f>Porc!$E$8:$E$14</c:f>
              <c:numCache>
                <c:formatCode>_(* #,##0.00_);_(* \(#,##0.00\);_(* "-"??_);_(@_)</c:formatCode>
                <c:ptCount val="7"/>
                <c:pt idx="0">
                  <c:v>0</c:v>
                </c:pt>
                <c:pt idx="1">
                  <c:v>0</c:v>
                </c:pt>
                <c:pt idx="2">
                  <c:v>0</c:v>
                </c:pt>
                <c:pt idx="3">
                  <c:v>0</c:v>
                </c:pt>
                <c:pt idx="4">
                  <c:v>0</c:v>
                </c:pt>
                <c:pt idx="5">
                  <c:v>0</c:v>
                </c:pt>
                <c:pt idx="6">
                  <c:v>0</c:v>
                </c:pt>
              </c:numCache>
            </c:numRef>
          </c:val>
        </c:ser>
        <c:ser>
          <c:idx val="1"/>
          <c:order val="1"/>
          <c:tx>
            <c:strRef>
              <c:f>Porc!$F$7</c:f>
              <c:strCache>
                <c:ptCount val="1"/>
                <c:pt idx="0">
                  <c:v>Simples Nacional</c:v>
                </c:pt>
              </c:strCache>
            </c:strRef>
          </c:tx>
          <c:invertIfNegative val="0"/>
          <c:dLbls>
            <c:txPr>
              <a:bodyPr rot="-5400000" vert="horz"/>
              <a:lstStyle/>
              <a:p>
                <a:pPr>
                  <a:defRPr/>
                </a:pPr>
                <a:endParaRPr lang="pt-BR"/>
              </a:p>
            </c:txPr>
            <c:dLblPos val="inBase"/>
            <c:showLegendKey val="0"/>
            <c:showVal val="1"/>
            <c:showCatName val="0"/>
            <c:showSerName val="0"/>
            <c:showPercent val="0"/>
            <c:showBubbleSize val="0"/>
            <c:showLeaderLines val="0"/>
          </c:dLbls>
          <c:cat>
            <c:strRef>
              <c:f>Porc!$C$8:$C$14</c:f>
              <c:strCache>
                <c:ptCount val="7"/>
                <c:pt idx="0">
                  <c:v>ISSQN</c:v>
                </c:pt>
                <c:pt idx="1">
                  <c:v>PIS</c:v>
                </c:pt>
                <c:pt idx="2">
                  <c:v>COFINS</c:v>
                </c:pt>
                <c:pt idx="3">
                  <c:v>CSLL</c:v>
                </c:pt>
                <c:pt idx="4">
                  <c:v>IRPJ</c:v>
                </c:pt>
                <c:pt idx="5">
                  <c:v>IRPJ Adicional</c:v>
                </c:pt>
                <c:pt idx="6">
                  <c:v>INSS</c:v>
                </c:pt>
              </c:strCache>
            </c:strRef>
          </c:cat>
          <c:val>
            <c:numRef>
              <c:f>Porc!$F$8:$F$14</c:f>
              <c:numCache>
                <c:formatCode>_(* #,##0.00_);_(* \(#,##0.00\);_(* "-"??_);_(@_)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37"/>
        <c:overlap val="-1"/>
        <c:axId val="94836224"/>
        <c:axId val="94837760"/>
      </c:barChart>
      <c:catAx>
        <c:axId val="94836224"/>
        <c:scaling>
          <c:orientation val="minMax"/>
        </c:scaling>
        <c:delete val="0"/>
        <c:axPos val="b"/>
        <c:majorGridlines/>
        <c:majorTickMark val="out"/>
        <c:minorTickMark val="none"/>
        <c:tickLblPos val="low"/>
        <c:crossAx val="94837760"/>
        <c:crosses val="autoZero"/>
        <c:auto val="1"/>
        <c:lblAlgn val="ctr"/>
        <c:lblOffset val="100"/>
        <c:noMultiLvlLbl val="0"/>
      </c:catAx>
      <c:valAx>
        <c:axId val="94837760"/>
        <c:scaling>
          <c:orientation val="minMax"/>
        </c:scaling>
        <c:delete val="1"/>
        <c:axPos val="l"/>
        <c:numFmt formatCode="_(* #,##0.00_);_(* \(#,##0.00\);_(* &quot;-&quot;??_);_(@_)" sourceLinked="1"/>
        <c:majorTickMark val="out"/>
        <c:minorTickMark val="none"/>
        <c:tickLblPos val="none"/>
        <c:crossAx val="94836224"/>
        <c:crosses val="autoZero"/>
        <c:crossBetween val="between"/>
      </c:valAx>
    </c:plotArea>
    <c:legend>
      <c:legendPos val="t"/>
      <c:layout>
        <c:manualLayout>
          <c:xMode val="edge"/>
          <c:yMode val="edge"/>
          <c:x val="4.1694067288349054E-2"/>
          <c:y val="5.9364631307879195E-2"/>
          <c:w val="0.69805285465736355"/>
          <c:h val="9.4126777718048948E-2"/>
        </c:manualLayout>
      </c:layout>
      <c:overlay val="0"/>
    </c:legend>
    <c:plotVisOnly val="1"/>
    <c:dispBlanksAs val="gap"/>
    <c:showDLblsOverMax val="0"/>
  </c:chart>
  <c:printSettings>
    <c:headerFooter/>
    <c:pageMargins b="0.78740157499999996" l="0.511811024" r="0.511811024" t="0.78740157499999996" header="0.31496062000000258" footer="0.31496062000000258"/>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15758471945715691"/>
          <c:y val="3.6003720299185284E-2"/>
          <c:w val="0.83376291786420853"/>
          <c:h val="0.85777757869127846"/>
        </c:manualLayout>
      </c:layout>
      <c:barChart>
        <c:barDir val="bar"/>
        <c:grouping val="clustered"/>
        <c:varyColors val="0"/>
        <c:ser>
          <c:idx val="0"/>
          <c:order val="0"/>
          <c:invertIfNegative val="0"/>
          <c:dLbls>
            <c:dLbl>
              <c:idx val="0"/>
              <c:layout>
                <c:manualLayout>
                  <c:x val="5.7924582080467767E-2"/>
                  <c:y val="-1.7093994085747244E-2"/>
                </c:manualLayout>
              </c:layout>
              <c:dLblPos val="inBase"/>
              <c:showLegendKey val="0"/>
              <c:showVal val="1"/>
              <c:showCatName val="0"/>
              <c:showSerName val="0"/>
              <c:showPercent val="0"/>
              <c:showBubbleSize val="0"/>
            </c:dLbl>
            <c:numFmt formatCode="_(* #,##0.00_);_(* \(#,##0.00\);_(* &quot;-&quot;??_);_(@_)" sourceLinked="0"/>
            <c:dLblPos val="outEnd"/>
            <c:showLegendKey val="0"/>
            <c:showVal val="1"/>
            <c:showCatName val="0"/>
            <c:showSerName val="0"/>
            <c:showPercent val="0"/>
            <c:showBubbleSize val="0"/>
            <c:showLeaderLines val="0"/>
          </c:dLbls>
          <c:cat>
            <c:strRef>
              <c:f>Dados!$B$2:$B$3</c:f>
              <c:strCache>
                <c:ptCount val="2"/>
                <c:pt idx="0">
                  <c:v>Economia Ano</c:v>
                </c:pt>
                <c:pt idx="1">
                  <c:v>Economia Mês</c:v>
                </c:pt>
              </c:strCache>
            </c:strRef>
          </c:cat>
          <c:val>
            <c:numRef>
              <c:f>Dados!$C$2:$C$3</c:f>
              <c:numCache>
                <c:formatCode>#,##0.00_ ;\-#,##0.00\ </c:formatCode>
                <c:ptCount val="2"/>
                <c:pt idx="0">
                  <c:v>0</c:v>
                </c:pt>
                <c:pt idx="1">
                  <c:v>0</c:v>
                </c:pt>
              </c:numCache>
            </c:numRef>
          </c:val>
        </c:ser>
        <c:dLbls>
          <c:showLegendKey val="0"/>
          <c:showVal val="0"/>
          <c:showCatName val="0"/>
          <c:showSerName val="0"/>
          <c:showPercent val="0"/>
          <c:showBubbleSize val="0"/>
        </c:dLbls>
        <c:gapWidth val="34"/>
        <c:axId val="94870528"/>
        <c:axId val="94884608"/>
      </c:barChart>
      <c:catAx>
        <c:axId val="94870528"/>
        <c:scaling>
          <c:orientation val="minMax"/>
        </c:scaling>
        <c:delete val="0"/>
        <c:axPos val="l"/>
        <c:majorTickMark val="out"/>
        <c:minorTickMark val="none"/>
        <c:tickLblPos val="nextTo"/>
        <c:crossAx val="94884608"/>
        <c:crosses val="autoZero"/>
        <c:auto val="1"/>
        <c:lblAlgn val="ctr"/>
        <c:lblOffset val="100"/>
        <c:noMultiLvlLbl val="0"/>
      </c:catAx>
      <c:valAx>
        <c:axId val="94884608"/>
        <c:scaling>
          <c:orientation val="minMax"/>
        </c:scaling>
        <c:delete val="1"/>
        <c:axPos val="b"/>
        <c:numFmt formatCode="#,##0.00_ ;\-#,##0.00\ " sourceLinked="1"/>
        <c:majorTickMark val="out"/>
        <c:minorTickMark val="none"/>
        <c:tickLblPos val="none"/>
        <c:crossAx val="94870528"/>
        <c:crosses val="autoZero"/>
        <c:crossBetween val="between"/>
      </c:valAx>
    </c:plotArea>
    <c:plotVisOnly val="1"/>
    <c:dispBlanksAs val="gap"/>
    <c:showDLblsOverMax val="0"/>
  </c:chart>
  <c:printSettings>
    <c:headerFooter/>
    <c:pageMargins b="0.78740157499999996" l="0.511811024" r="0.511811024" t="0.78740157499999996" header="0.31496062000000291" footer="0.3149606200000029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21212942644465"/>
          <c:y val="2.7824393044619655E-2"/>
          <c:w val="0.70804203777806474"/>
          <c:h val="0.81319706248840706"/>
        </c:manualLayout>
      </c:layout>
      <c:barChart>
        <c:barDir val="col"/>
        <c:grouping val="stacked"/>
        <c:varyColors val="0"/>
        <c:ser>
          <c:idx val="0"/>
          <c:order val="0"/>
          <c:tx>
            <c:strRef>
              <c:f>Porc!$C$8</c:f>
              <c:strCache>
                <c:ptCount val="1"/>
                <c:pt idx="0">
                  <c:v>ISSQN</c:v>
                </c:pt>
              </c:strCache>
            </c:strRef>
          </c:tx>
          <c:invertIfNegative val="0"/>
          <c:cat>
            <c:strRef>
              <c:f>Porc!$D$7:$F$7</c:f>
              <c:strCache>
                <c:ptCount val="3"/>
                <c:pt idx="0">
                  <c:v>Lucro Real</c:v>
                </c:pt>
                <c:pt idx="1">
                  <c:v>Lucro Presumido</c:v>
                </c:pt>
                <c:pt idx="2">
                  <c:v>Simples Nacional</c:v>
                </c:pt>
              </c:strCache>
            </c:strRef>
          </c:cat>
          <c:val>
            <c:numRef>
              <c:f>Porc!$D$8:$F$8</c:f>
              <c:numCache>
                <c:formatCode>_(* #,##0.00_);_(* \(#,##0.00\);_(* "-"??_);_(@_)</c:formatCode>
                <c:ptCount val="3"/>
                <c:pt idx="0">
                  <c:v>0</c:v>
                </c:pt>
                <c:pt idx="1">
                  <c:v>0</c:v>
                </c:pt>
                <c:pt idx="2">
                  <c:v>0</c:v>
                </c:pt>
              </c:numCache>
            </c:numRef>
          </c:val>
        </c:ser>
        <c:ser>
          <c:idx val="1"/>
          <c:order val="1"/>
          <c:tx>
            <c:strRef>
              <c:f>Porc!$C$9</c:f>
              <c:strCache>
                <c:ptCount val="1"/>
                <c:pt idx="0">
                  <c:v>PIS</c:v>
                </c:pt>
              </c:strCache>
            </c:strRef>
          </c:tx>
          <c:invertIfNegative val="0"/>
          <c:cat>
            <c:strRef>
              <c:f>Porc!$D$7:$F$7</c:f>
              <c:strCache>
                <c:ptCount val="3"/>
                <c:pt idx="0">
                  <c:v>Lucro Real</c:v>
                </c:pt>
                <c:pt idx="1">
                  <c:v>Lucro Presumido</c:v>
                </c:pt>
                <c:pt idx="2">
                  <c:v>Simples Nacional</c:v>
                </c:pt>
              </c:strCache>
            </c:strRef>
          </c:cat>
          <c:val>
            <c:numRef>
              <c:f>Porc!$D$9:$F$9</c:f>
              <c:numCache>
                <c:formatCode>_(* #,##0.00_);_(* \(#,##0.00\);_(* "-"??_);_(@_)</c:formatCode>
                <c:ptCount val="3"/>
                <c:pt idx="0">
                  <c:v>0</c:v>
                </c:pt>
                <c:pt idx="1">
                  <c:v>0</c:v>
                </c:pt>
                <c:pt idx="2">
                  <c:v>0</c:v>
                </c:pt>
              </c:numCache>
            </c:numRef>
          </c:val>
        </c:ser>
        <c:ser>
          <c:idx val="2"/>
          <c:order val="2"/>
          <c:tx>
            <c:strRef>
              <c:f>Porc!$C$10</c:f>
              <c:strCache>
                <c:ptCount val="1"/>
                <c:pt idx="0">
                  <c:v>COFINS</c:v>
                </c:pt>
              </c:strCache>
            </c:strRef>
          </c:tx>
          <c:invertIfNegative val="0"/>
          <c:cat>
            <c:strRef>
              <c:f>Porc!$D$7:$F$7</c:f>
              <c:strCache>
                <c:ptCount val="3"/>
                <c:pt idx="0">
                  <c:v>Lucro Real</c:v>
                </c:pt>
                <c:pt idx="1">
                  <c:v>Lucro Presumido</c:v>
                </c:pt>
                <c:pt idx="2">
                  <c:v>Simples Nacional</c:v>
                </c:pt>
              </c:strCache>
            </c:strRef>
          </c:cat>
          <c:val>
            <c:numRef>
              <c:f>Porc!$D$10:$F$10</c:f>
              <c:numCache>
                <c:formatCode>_(* #,##0.00_);_(* \(#,##0.00\);_(* "-"??_);_(@_)</c:formatCode>
                <c:ptCount val="3"/>
                <c:pt idx="0">
                  <c:v>0</c:v>
                </c:pt>
                <c:pt idx="1">
                  <c:v>0</c:v>
                </c:pt>
                <c:pt idx="2">
                  <c:v>0</c:v>
                </c:pt>
              </c:numCache>
            </c:numRef>
          </c:val>
        </c:ser>
        <c:ser>
          <c:idx val="3"/>
          <c:order val="3"/>
          <c:tx>
            <c:strRef>
              <c:f>Porc!$C$11</c:f>
              <c:strCache>
                <c:ptCount val="1"/>
                <c:pt idx="0">
                  <c:v>CSLL</c:v>
                </c:pt>
              </c:strCache>
            </c:strRef>
          </c:tx>
          <c:invertIfNegative val="0"/>
          <c:cat>
            <c:strRef>
              <c:f>Porc!$D$7:$F$7</c:f>
              <c:strCache>
                <c:ptCount val="3"/>
                <c:pt idx="0">
                  <c:v>Lucro Real</c:v>
                </c:pt>
                <c:pt idx="1">
                  <c:v>Lucro Presumido</c:v>
                </c:pt>
                <c:pt idx="2">
                  <c:v>Simples Nacional</c:v>
                </c:pt>
              </c:strCache>
            </c:strRef>
          </c:cat>
          <c:val>
            <c:numRef>
              <c:f>Porc!$D$11:$F$11</c:f>
              <c:numCache>
                <c:formatCode>_(* #,##0.00_);_(* \(#,##0.00\);_(* "-"??_);_(@_)</c:formatCode>
                <c:ptCount val="3"/>
                <c:pt idx="0">
                  <c:v>0</c:v>
                </c:pt>
                <c:pt idx="1">
                  <c:v>0</c:v>
                </c:pt>
                <c:pt idx="2">
                  <c:v>0</c:v>
                </c:pt>
              </c:numCache>
            </c:numRef>
          </c:val>
        </c:ser>
        <c:ser>
          <c:idx val="4"/>
          <c:order val="4"/>
          <c:tx>
            <c:strRef>
              <c:f>Porc!$C$12</c:f>
              <c:strCache>
                <c:ptCount val="1"/>
                <c:pt idx="0">
                  <c:v>IRPJ</c:v>
                </c:pt>
              </c:strCache>
            </c:strRef>
          </c:tx>
          <c:invertIfNegative val="0"/>
          <c:cat>
            <c:strRef>
              <c:f>Porc!$D$7:$F$7</c:f>
              <c:strCache>
                <c:ptCount val="3"/>
                <c:pt idx="0">
                  <c:v>Lucro Real</c:v>
                </c:pt>
                <c:pt idx="1">
                  <c:v>Lucro Presumido</c:v>
                </c:pt>
                <c:pt idx="2">
                  <c:v>Simples Nacional</c:v>
                </c:pt>
              </c:strCache>
            </c:strRef>
          </c:cat>
          <c:val>
            <c:numRef>
              <c:f>Porc!$D$12:$F$12</c:f>
              <c:numCache>
                <c:formatCode>_(* #,##0.00_);_(* \(#,##0.00\);_(* "-"??_);_(@_)</c:formatCode>
                <c:ptCount val="3"/>
                <c:pt idx="0">
                  <c:v>0</c:v>
                </c:pt>
                <c:pt idx="1">
                  <c:v>0</c:v>
                </c:pt>
                <c:pt idx="2">
                  <c:v>0</c:v>
                </c:pt>
              </c:numCache>
            </c:numRef>
          </c:val>
        </c:ser>
        <c:ser>
          <c:idx val="5"/>
          <c:order val="5"/>
          <c:tx>
            <c:strRef>
              <c:f>Porc!$C$13</c:f>
              <c:strCache>
                <c:ptCount val="1"/>
                <c:pt idx="0">
                  <c:v>IRPJ Adicional</c:v>
                </c:pt>
              </c:strCache>
            </c:strRef>
          </c:tx>
          <c:invertIfNegative val="0"/>
          <c:cat>
            <c:strRef>
              <c:f>Porc!$D$7:$F$7</c:f>
              <c:strCache>
                <c:ptCount val="3"/>
                <c:pt idx="0">
                  <c:v>Lucro Real</c:v>
                </c:pt>
                <c:pt idx="1">
                  <c:v>Lucro Presumido</c:v>
                </c:pt>
                <c:pt idx="2">
                  <c:v>Simples Nacional</c:v>
                </c:pt>
              </c:strCache>
            </c:strRef>
          </c:cat>
          <c:val>
            <c:numRef>
              <c:f>Porc!$D$13:$F$13</c:f>
              <c:numCache>
                <c:formatCode>_(* #,##0.00_);_(* \(#,##0.00\);_(* "-"??_);_(@_)</c:formatCode>
                <c:ptCount val="3"/>
                <c:pt idx="0">
                  <c:v>0</c:v>
                </c:pt>
                <c:pt idx="1">
                  <c:v>0</c:v>
                </c:pt>
                <c:pt idx="2">
                  <c:v>0</c:v>
                </c:pt>
              </c:numCache>
            </c:numRef>
          </c:val>
        </c:ser>
        <c:ser>
          <c:idx val="6"/>
          <c:order val="6"/>
          <c:tx>
            <c:strRef>
              <c:f>Porc!$C$14</c:f>
              <c:strCache>
                <c:ptCount val="1"/>
                <c:pt idx="0">
                  <c:v>INSS</c:v>
                </c:pt>
              </c:strCache>
            </c:strRef>
          </c:tx>
          <c:invertIfNegative val="0"/>
          <c:cat>
            <c:strRef>
              <c:f>Porc!$D$7:$F$7</c:f>
              <c:strCache>
                <c:ptCount val="3"/>
                <c:pt idx="0">
                  <c:v>Lucro Real</c:v>
                </c:pt>
                <c:pt idx="1">
                  <c:v>Lucro Presumido</c:v>
                </c:pt>
                <c:pt idx="2">
                  <c:v>Simples Nacional</c:v>
                </c:pt>
              </c:strCache>
            </c:strRef>
          </c:cat>
          <c:val>
            <c:numRef>
              <c:f>Porc!$D$14:$F$14</c:f>
              <c:numCache>
                <c:formatCode>_(* #,##0.00_);_(* \(#,##0.00\);_(* "-"??_);_(@_)</c:formatCode>
                <c:ptCount val="3"/>
                <c:pt idx="0">
                  <c:v>0</c:v>
                </c:pt>
                <c:pt idx="1">
                  <c:v>0</c:v>
                </c:pt>
                <c:pt idx="2">
                  <c:v>0</c:v>
                </c:pt>
              </c:numCache>
            </c:numRef>
          </c:val>
        </c:ser>
        <c:dLbls>
          <c:showLegendKey val="0"/>
          <c:showVal val="0"/>
          <c:showCatName val="0"/>
          <c:showSerName val="0"/>
          <c:showPercent val="0"/>
          <c:showBubbleSize val="0"/>
        </c:dLbls>
        <c:gapWidth val="218"/>
        <c:overlap val="100"/>
        <c:axId val="97399168"/>
        <c:axId val="97400704"/>
      </c:barChart>
      <c:catAx>
        <c:axId val="97399168"/>
        <c:scaling>
          <c:orientation val="minMax"/>
        </c:scaling>
        <c:delete val="0"/>
        <c:axPos val="b"/>
        <c:majorGridlines/>
        <c:majorTickMark val="out"/>
        <c:minorTickMark val="none"/>
        <c:tickLblPos val="nextTo"/>
        <c:crossAx val="97400704"/>
        <c:crosses val="autoZero"/>
        <c:auto val="1"/>
        <c:lblAlgn val="ctr"/>
        <c:lblOffset val="100"/>
        <c:noMultiLvlLbl val="0"/>
      </c:catAx>
      <c:valAx>
        <c:axId val="97400704"/>
        <c:scaling>
          <c:orientation val="minMax"/>
        </c:scaling>
        <c:delete val="1"/>
        <c:axPos val="l"/>
        <c:numFmt formatCode="_(* #,##0.00_);_(* \(#,##0.00\);_(* &quot;-&quot;??_);_(@_)" sourceLinked="1"/>
        <c:majorTickMark val="out"/>
        <c:minorTickMark val="none"/>
        <c:tickLblPos val="none"/>
        <c:crossAx val="97399168"/>
        <c:crosses val="autoZero"/>
        <c:crossBetween val="between"/>
      </c:valAx>
    </c:plotArea>
    <c:legend>
      <c:legendPos val="r"/>
      <c:layout>
        <c:manualLayout>
          <c:xMode val="edge"/>
          <c:yMode val="edge"/>
          <c:x val="1.8518518518518583E-2"/>
          <c:y val="4.4882420000531068E-2"/>
          <c:w val="0.19952045953272293"/>
          <c:h val="0.86550743145968612"/>
        </c:manualLayout>
      </c:layout>
      <c:overlay val="0"/>
    </c:legend>
    <c:plotVisOnly val="1"/>
    <c:dispBlanksAs val="gap"/>
    <c:showDLblsOverMax val="0"/>
  </c:chart>
  <c:printSettings>
    <c:headerFooter/>
    <c:pageMargins b="0.78740157499999996" l="0.511811024" r="0.511811024" t="0.78740157499999996" header="0.31496062000000374" footer="0.31496062000000374"/>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Disclaimer!A1"/></Relationships>
</file>

<file path=xl/drawings/_rels/drawing2.xml.rels><?xml version="1.0" encoding="UTF-8" standalone="yes"?>
<Relationships xmlns="http://schemas.openxmlformats.org/package/2006/relationships"><Relationship Id="rId2" Type="http://schemas.openxmlformats.org/officeDocument/2006/relationships/hyperlink" Target="#Porc!A1"/><Relationship Id="rId1" Type="http://schemas.openxmlformats.org/officeDocument/2006/relationships/hyperlink" Target="#Soc!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Cr&#233;ditos!A1"/><Relationship Id="rId4" Type="http://schemas.openxmlformats.org/officeDocument/2006/relationships/hyperlink" Target="#'Tabela S'!A1"/></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hyperlink" Target="#Cr&#233;ditos!A1"/><Relationship Id="rId4" Type="http://schemas.openxmlformats.org/officeDocument/2006/relationships/hyperlink" Target="#'Tabela P'!A1"/></Relationships>
</file>

<file path=xl/drawings/_rels/drawing5.xml.rels><?xml version="1.0" encoding="UTF-8" standalone="yes"?>
<Relationships xmlns="http://schemas.openxmlformats.org/package/2006/relationships"><Relationship Id="rId1" Type="http://schemas.openxmlformats.org/officeDocument/2006/relationships/hyperlink" Target="#Soc!A1"/></Relationships>
</file>

<file path=xl/drawings/_rels/drawing6.xml.rels><?xml version="1.0" encoding="UTF-8" standalone="yes"?>
<Relationships xmlns="http://schemas.openxmlformats.org/package/2006/relationships"><Relationship Id="rId1" Type="http://schemas.openxmlformats.org/officeDocument/2006/relationships/hyperlink" Target="#Porc!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bolsaicmsgoias.com/" TargetMode="External"/><Relationship Id="rId1" Type="http://schemas.openxmlformats.org/officeDocument/2006/relationships/hyperlink" Target="#Disclaimer!A1"/></Relationships>
</file>

<file path=xl/drawings/drawing1.xml><?xml version="1.0" encoding="utf-8"?>
<xdr:wsDr xmlns:xdr="http://schemas.openxmlformats.org/drawingml/2006/spreadsheetDrawing" xmlns:a="http://schemas.openxmlformats.org/drawingml/2006/main">
  <xdr:twoCellAnchor>
    <xdr:from>
      <xdr:col>7</xdr:col>
      <xdr:colOff>219075</xdr:colOff>
      <xdr:row>22</xdr:row>
      <xdr:rowOff>142875</xdr:rowOff>
    </xdr:from>
    <xdr:to>
      <xdr:col>11</xdr:col>
      <xdr:colOff>85725</xdr:colOff>
      <xdr:row>25</xdr:row>
      <xdr:rowOff>95250</xdr:rowOff>
    </xdr:to>
    <xdr:sp macro="" textlink="">
      <xdr:nvSpPr>
        <xdr:cNvPr id="5" name="Bisel 4">
          <a:hlinkClick xmlns:r="http://schemas.openxmlformats.org/officeDocument/2006/relationships" r:id="rId1" tooltip="Simulador Simples Nacional"/>
        </xdr:cNvPr>
        <xdr:cNvSpPr/>
      </xdr:nvSpPr>
      <xdr:spPr>
        <a:xfrm>
          <a:off x="3190875" y="4257675"/>
          <a:ext cx="2305050" cy="523875"/>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a:effectLst>
          <a:innerShdw blurRad="63500" dist="508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b="1">
              <a:solidFill>
                <a:schemeClr val="bg1"/>
              </a:solidFill>
              <a:latin typeface="Arial" pitchFamily="34" charset="0"/>
              <a:cs typeface="Arial" pitchFamily="34" charset="0"/>
            </a:rPr>
            <a:t>Simulador</a:t>
          </a:r>
          <a:endParaRPr lang="pt-BR" sz="700" b="1">
            <a:solidFill>
              <a:schemeClr val="bg1"/>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209549</xdr:colOff>
      <xdr:row>32</xdr:row>
      <xdr:rowOff>161924</xdr:rowOff>
    </xdr:from>
    <xdr:to>
      <xdr:col>6</xdr:col>
      <xdr:colOff>371474</xdr:colOff>
      <xdr:row>35</xdr:row>
      <xdr:rowOff>85725</xdr:rowOff>
    </xdr:to>
    <xdr:sp macro="" textlink="">
      <xdr:nvSpPr>
        <xdr:cNvPr id="2" name="Bisel 1">
          <a:hlinkClick xmlns:r="http://schemas.openxmlformats.org/officeDocument/2006/relationships" r:id="rId1" tooltip="Numero de Sócios"/>
        </xdr:cNvPr>
        <xdr:cNvSpPr/>
      </xdr:nvSpPr>
      <xdr:spPr>
        <a:xfrm>
          <a:off x="1504949" y="4352924"/>
          <a:ext cx="1990725" cy="495301"/>
        </a:xfrm>
        <a:prstGeom prst="bevel">
          <a:avLst/>
        </a:prstGeom>
        <a:solidFill>
          <a:schemeClr val="tx2"/>
        </a:solidFill>
        <a:ln w="12700" cap="rnd">
          <a:gradFill>
            <a:gsLst>
              <a:gs pos="0">
                <a:srgbClr val="5E9EFF"/>
              </a:gs>
              <a:gs pos="39999">
                <a:srgbClr val="85C2FF"/>
              </a:gs>
              <a:gs pos="70000">
                <a:srgbClr val="C4D6EB"/>
              </a:gs>
              <a:gs pos="100000">
                <a:srgbClr val="FFEBFA"/>
              </a:gs>
            </a:gsLst>
            <a:lin ang="5400000" scaled="0"/>
          </a:gradFill>
          <a:prstDash val="solid"/>
          <a:bevel/>
        </a:ln>
        <a:effectLst>
          <a:outerShdw blurRad="50800" dist="38100" dir="10800000" algn="r" rotWithShape="0">
            <a:prstClr val="black">
              <a:alpha val="40000"/>
            </a:prstClr>
          </a:outerShdw>
        </a:effectLst>
        <a:scene3d>
          <a:camera prst="orthographicFront"/>
          <a:lightRig rig="threePt" dir="t"/>
        </a:scene3d>
        <a:sp3d prstMaterial="softEdge"/>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b="1" i="1" u="none">
              <a:solidFill>
                <a:schemeClr val="bg1"/>
              </a:solidFill>
              <a:latin typeface="Arial" pitchFamily="34" charset="0"/>
              <a:cs typeface="Arial" pitchFamily="34" charset="0"/>
            </a:rPr>
            <a:t>Valor</a:t>
          </a:r>
          <a:r>
            <a:rPr lang="pt-BR" sz="1100" b="1" i="1" u="none" baseline="0">
              <a:solidFill>
                <a:schemeClr val="bg1"/>
              </a:solidFill>
              <a:latin typeface="Arial" pitchFamily="34" charset="0"/>
              <a:cs typeface="Arial" pitchFamily="34" charset="0"/>
            </a:rPr>
            <a:t> Fixo/ </a:t>
          </a:r>
          <a:r>
            <a:rPr lang="pt-BR" sz="1100" b="1" i="1" u="none">
              <a:solidFill>
                <a:schemeClr val="bg1"/>
              </a:solidFill>
              <a:latin typeface="Arial" pitchFamily="34" charset="0"/>
              <a:cs typeface="Arial" pitchFamily="34" charset="0"/>
            </a:rPr>
            <a:t>Número de Sócios</a:t>
          </a:r>
          <a:endParaRPr lang="pt-BR" sz="700" b="1" i="1" u="none">
            <a:solidFill>
              <a:schemeClr val="bg1"/>
            </a:solidFill>
            <a:latin typeface="Arial" pitchFamily="34" charset="0"/>
            <a:cs typeface="Arial" pitchFamily="34" charset="0"/>
          </a:endParaRPr>
        </a:p>
      </xdr:txBody>
    </xdr:sp>
    <xdr:clientData/>
  </xdr:twoCellAnchor>
  <xdr:twoCellAnchor>
    <xdr:from>
      <xdr:col>9</xdr:col>
      <xdr:colOff>28574</xdr:colOff>
      <xdr:row>33</xdr:row>
      <xdr:rowOff>9525</xdr:rowOff>
    </xdr:from>
    <xdr:to>
      <xdr:col>12</xdr:col>
      <xdr:colOff>266699</xdr:colOff>
      <xdr:row>35</xdr:row>
      <xdr:rowOff>104775</xdr:rowOff>
    </xdr:to>
    <xdr:sp macro="" textlink="">
      <xdr:nvSpPr>
        <xdr:cNvPr id="5" name="Bisel 4">
          <a:hlinkClick xmlns:r="http://schemas.openxmlformats.org/officeDocument/2006/relationships" r:id="rId2" tooltip="Alíquota Estabelecida no Município"/>
        </xdr:cNvPr>
        <xdr:cNvSpPr/>
      </xdr:nvSpPr>
      <xdr:spPr>
        <a:xfrm>
          <a:off x="4981574" y="4391025"/>
          <a:ext cx="2066925" cy="476250"/>
        </a:xfrm>
        <a:prstGeom prst="bevel">
          <a:avLst/>
        </a:prstGeom>
        <a:solidFill>
          <a:schemeClr val="tx2"/>
        </a:solidFill>
        <a:ln w="12700" cap="rnd">
          <a:gradFill>
            <a:gsLst>
              <a:gs pos="0">
                <a:srgbClr val="5E9EFF"/>
              </a:gs>
              <a:gs pos="39999">
                <a:srgbClr val="85C2FF"/>
              </a:gs>
              <a:gs pos="70000">
                <a:srgbClr val="C4D6EB"/>
              </a:gs>
              <a:gs pos="100000">
                <a:srgbClr val="FFEBFA"/>
              </a:gs>
            </a:gsLst>
            <a:lin ang="5400000" scaled="0"/>
          </a:gradFill>
          <a:prstDash val="solid"/>
          <a:bevel/>
        </a:ln>
        <a:effectLst>
          <a:outerShdw blurRad="50800" dist="38100" dir="10800000" algn="r" rotWithShape="0">
            <a:prstClr val="black">
              <a:alpha val="40000"/>
            </a:prstClr>
          </a:outerShdw>
        </a:effectLst>
        <a:scene3d>
          <a:camera prst="orthographicFront"/>
          <a:lightRig rig="threePt" dir="t"/>
        </a:scene3d>
        <a:sp3d prstMaterial="softEdge"/>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b="1" i="1" u="none">
              <a:solidFill>
                <a:schemeClr val="bg1"/>
              </a:solidFill>
              <a:latin typeface="Arial" pitchFamily="34" charset="0"/>
              <a:cs typeface="Arial" pitchFamily="34" charset="0"/>
            </a:rPr>
            <a:t>Alíquota</a:t>
          </a:r>
          <a:endParaRPr lang="pt-BR" sz="700" b="1" i="1" u="none">
            <a:solidFill>
              <a:schemeClr val="bg1"/>
            </a:solidFill>
            <a:latin typeface="Arial" pitchFamily="34" charset="0"/>
            <a:cs typeface="Arial" pitchFamily="34" charset="0"/>
          </a:endParaRPr>
        </a:p>
      </xdr:txBody>
    </xdr:sp>
    <xdr:clientData/>
  </xdr:twoCellAnchor>
  <xdr:twoCellAnchor>
    <xdr:from>
      <xdr:col>1</xdr:col>
      <xdr:colOff>76200</xdr:colOff>
      <xdr:row>24</xdr:row>
      <xdr:rowOff>76200</xdr:rowOff>
    </xdr:from>
    <xdr:to>
      <xdr:col>14</xdr:col>
      <xdr:colOff>476249</xdr:colOff>
      <xdr:row>30</xdr:row>
      <xdr:rowOff>123824</xdr:rowOff>
    </xdr:to>
    <xdr:sp macro="" textlink="">
      <xdr:nvSpPr>
        <xdr:cNvPr id="6" name="CaixaDeTexto 5"/>
        <xdr:cNvSpPr txBox="1"/>
      </xdr:nvSpPr>
      <xdr:spPr>
        <a:xfrm>
          <a:off x="152400" y="3228975"/>
          <a:ext cx="8324849" cy="9048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pt-BR" sz="1000"/>
            <a:t>PARA INICIAR O SIMULADOR ESCOLHA A FORMA COMO O ISSQN É RECOLHIDO EM SEU MUNICÍPIO</a:t>
          </a:r>
          <a:r>
            <a:rPr lang="pt-BR" sz="1000" baseline="0"/>
            <a:t> (HÁ DUAS FORMAS DE SE CALCULAR O ISSQN: PELO VALOR FIXO, CONSIDERANDO O NÚMERO DE SÓCIOS DA SOCIEDADE, OU A FORMA NORMAL APLICANDO A ALÍQUOTA SOBRE A RECEITA).</a:t>
          </a:r>
        </a:p>
        <a:p>
          <a:pPr algn="ctr"/>
          <a:endParaRPr lang="pt-BR" sz="1000" baseline="0"/>
        </a:p>
        <a:p>
          <a:pPr algn="ctr"/>
          <a:r>
            <a:rPr lang="pt-BR" sz="1000" baseline="0"/>
            <a:t>APÓS, VOCÊ DEVERÁ ESTIMAR A SUA RECEITA MENSAL MÉDIA PARA O ANO DE 2015, BEM COMO ESTIMAR SUA DESPESA COM FOLHA DE PAGAMENTO E OUTRAS DESPESAS DEDUTÍVEIS.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57150</xdr:rowOff>
    </xdr:from>
    <xdr:to>
      <xdr:col>14</xdr:col>
      <xdr:colOff>485775</xdr:colOff>
      <xdr:row>27</xdr:row>
      <xdr:rowOff>104774</xdr:rowOff>
    </xdr:to>
    <xdr:sp macro="" textlink="">
      <xdr:nvSpPr>
        <xdr:cNvPr id="10" name="Retângulo 9"/>
        <xdr:cNvSpPr/>
      </xdr:nvSpPr>
      <xdr:spPr>
        <a:xfrm>
          <a:off x="35502" y="57150"/>
          <a:ext cx="10304318" cy="5130510"/>
        </a:xfrm>
        <a:prstGeom prst="rect">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7</xdr:col>
      <xdr:colOff>95250</xdr:colOff>
      <xdr:row>10</xdr:row>
      <xdr:rowOff>9525</xdr:rowOff>
    </xdr:from>
    <xdr:to>
      <xdr:col>14</xdr:col>
      <xdr:colOff>428624</xdr:colOff>
      <xdr:row>25</xdr:row>
      <xdr:rowOff>171450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95251</xdr:colOff>
      <xdr:row>2</xdr:row>
      <xdr:rowOff>190499</xdr:rowOff>
    </xdr:from>
    <xdr:to>
      <xdr:col>14</xdr:col>
      <xdr:colOff>428626</xdr:colOff>
      <xdr:row>9</xdr:row>
      <xdr:rowOff>104775</xdr:rowOff>
    </xdr:to>
    <xdr:graphicFrame macro="">
      <xdr:nvGraphicFramePr>
        <xdr:cNvPr id="27" name="Gráfico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xdr:colOff>
      <xdr:row>16</xdr:row>
      <xdr:rowOff>1</xdr:rowOff>
    </xdr:from>
    <xdr:to>
      <xdr:col>6</xdr:col>
      <xdr:colOff>361951</xdr:colOff>
      <xdr:row>25</xdr:row>
      <xdr:rowOff>161925</xdr:rowOff>
    </xdr:to>
    <xdr:graphicFrame macro="">
      <xdr:nvGraphicFramePr>
        <xdr:cNvPr id="29" name="Gráfico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17319</xdr:colOff>
      <xdr:row>2</xdr:row>
      <xdr:rowOff>153521</xdr:rowOff>
    </xdr:from>
    <xdr:to>
      <xdr:col>4</xdr:col>
      <xdr:colOff>415737</xdr:colOff>
      <xdr:row>4</xdr:row>
      <xdr:rowOff>37540</xdr:rowOff>
    </xdr:to>
    <xdr:sp macro="" textlink="">
      <xdr:nvSpPr>
        <xdr:cNvPr id="32" name="Retângulo 31"/>
        <xdr:cNvSpPr/>
      </xdr:nvSpPr>
      <xdr:spPr>
        <a:xfrm>
          <a:off x="2251364" y="508544"/>
          <a:ext cx="398418" cy="34295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2</xdr:col>
      <xdr:colOff>114300</xdr:colOff>
      <xdr:row>3</xdr:row>
      <xdr:rowOff>57150</xdr:rowOff>
    </xdr:from>
    <xdr:to>
      <xdr:col>3</xdr:col>
      <xdr:colOff>133350</xdr:colOff>
      <xdr:row>4</xdr:row>
      <xdr:rowOff>104775</xdr:rowOff>
    </xdr:to>
    <xdr:sp macro="" textlink="">
      <xdr:nvSpPr>
        <xdr:cNvPr id="42" name="Bisel 41">
          <a:hlinkClick xmlns:r="http://schemas.openxmlformats.org/officeDocument/2006/relationships" r:id="rId4" tooltip="Tabela Simples Nacional - Advocacia"/>
        </xdr:cNvPr>
        <xdr:cNvSpPr/>
      </xdr:nvSpPr>
      <xdr:spPr>
        <a:xfrm>
          <a:off x="228600" y="609600"/>
          <a:ext cx="1133475" cy="304800"/>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t>Tabela</a:t>
          </a:r>
          <a:endParaRPr lang="pt-BR" sz="1100" b="1"/>
        </a:p>
      </xdr:txBody>
    </xdr:sp>
    <xdr:clientData/>
  </xdr:twoCellAnchor>
  <xdr:twoCellAnchor>
    <xdr:from>
      <xdr:col>3</xdr:col>
      <xdr:colOff>238125</xdr:colOff>
      <xdr:row>3</xdr:row>
      <xdr:rowOff>57150</xdr:rowOff>
    </xdr:from>
    <xdr:to>
      <xdr:col>4</xdr:col>
      <xdr:colOff>361949</xdr:colOff>
      <xdr:row>4</xdr:row>
      <xdr:rowOff>104775</xdr:rowOff>
    </xdr:to>
    <xdr:sp macro="" textlink="">
      <xdr:nvSpPr>
        <xdr:cNvPr id="18" name="Bisel 17">
          <a:hlinkClick xmlns:r="http://schemas.openxmlformats.org/officeDocument/2006/relationships" r:id="rId5" tooltip="Créditos"/>
        </xdr:cNvPr>
        <xdr:cNvSpPr/>
      </xdr:nvSpPr>
      <xdr:spPr>
        <a:xfrm>
          <a:off x="1466850" y="609600"/>
          <a:ext cx="1123949" cy="304800"/>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t>Créditos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57150</xdr:rowOff>
    </xdr:from>
    <xdr:to>
      <xdr:col>14</xdr:col>
      <xdr:colOff>485775</xdr:colOff>
      <xdr:row>27</xdr:row>
      <xdr:rowOff>104774</xdr:rowOff>
    </xdr:to>
    <xdr:sp macro="" textlink="">
      <xdr:nvSpPr>
        <xdr:cNvPr id="2" name="Retângulo 1"/>
        <xdr:cNvSpPr/>
      </xdr:nvSpPr>
      <xdr:spPr>
        <a:xfrm>
          <a:off x="38100" y="57150"/>
          <a:ext cx="10315575" cy="5105399"/>
        </a:xfrm>
        <a:prstGeom prst="rect">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7</xdr:col>
      <xdr:colOff>85725</xdr:colOff>
      <xdr:row>9</xdr:row>
      <xdr:rowOff>171450</xdr:rowOff>
    </xdr:from>
    <xdr:to>
      <xdr:col>14</xdr:col>
      <xdr:colOff>447673</xdr:colOff>
      <xdr:row>26</xdr:row>
      <xdr:rowOff>9524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xdr:row>
      <xdr:rowOff>180974</xdr:rowOff>
    </xdr:from>
    <xdr:to>
      <xdr:col>14</xdr:col>
      <xdr:colOff>447672</xdr:colOff>
      <xdr:row>9</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xdr:colOff>
      <xdr:row>16</xdr:row>
      <xdr:rowOff>1</xdr:rowOff>
    </xdr:from>
    <xdr:to>
      <xdr:col>6</xdr:col>
      <xdr:colOff>361951</xdr:colOff>
      <xdr:row>25</xdr:row>
      <xdr:rowOff>161925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971550</xdr:colOff>
      <xdr:row>2</xdr:row>
      <xdr:rowOff>153521</xdr:rowOff>
    </xdr:from>
    <xdr:to>
      <xdr:col>4</xdr:col>
      <xdr:colOff>415738</xdr:colOff>
      <xdr:row>4</xdr:row>
      <xdr:rowOff>37540</xdr:rowOff>
    </xdr:to>
    <xdr:sp macro="" textlink="">
      <xdr:nvSpPr>
        <xdr:cNvPr id="6" name="Retângulo 5"/>
        <xdr:cNvSpPr/>
      </xdr:nvSpPr>
      <xdr:spPr>
        <a:xfrm>
          <a:off x="2200275" y="505946"/>
          <a:ext cx="444313" cy="34121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pt-BR" sz="1100"/>
        </a:p>
      </xdr:txBody>
    </xdr:sp>
    <xdr:clientData/>
  </xdr:twoCellAnchor>
  <xdr:twoCellAnchor>
    <xdr:from>
      <xdr:col>2</xdr:col>
      <xdr:colOff>104775</xdr:colOff>
      <xdr:row>3</xdr:row>
      <xdr:rowOff>57150</xdr:rowOff>
    </xdr:from>
    <xdr:to>
      <xdr:col>3</xdr:col>
      <xdr:colOff>28575</xdr:colOff>
      <xdr:row>4</xdr:row>
      <xdr:rowOff>104775</xdr:rowOff>
    </xdr:to>
    <xdr:sp macro="" textlink="">
      <xdr:nvSpPr>
        <xdr:cNvPr id="12" name="Bisel 11">
          <a:hlinkClick xmlns:r="http://schemas.openxmlformats.org/officeDocument/2006/relationships" r:id="rId4" tooltip="Tabela Simples Nacional - Advocacia"/>
        </xdr:cNvPr>
        <xdr:cNvSpPr/>
      </xdr:nvSpPr>
      <xdr:spPr>
        <a:xfrm>
          <a:off x="219075" y="619125"/>
          <a:ext cx="1038225" cy="304800"/>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solidFill>
                <a:schemeClr val="bg1"/>
              </a:solidFill>
            </a:rPr>
            <a:t>Tabela</a:t>
          </a:r>
          <a:endParaRPr lang="pt-BR" sz="1100" b="1">
            <a:solidFill>
              <a:schemeClr val="bg1"/>
            </a:solidFill>
          </a:endParaRPr>
        </a:p>
      </xdr:txBody>
    </xdr:sp>
    <xdr:clientData/>
  </xdr:twoCellAnchor>
  <xdr:twoCellAnchor>
    <xdr:from>
      <xdr:col>3</xdr:col>
      <xdr:colOff>200025</xdr:colOff>
      <xdr:row>3</xdr:row>
      <xdr:rowOff>57150</xdr:rowOff>
    </xdr:from>
    <xdr:to>
      <xdr:col>4</xdr:col>
      <xdr:colOff>276225</xdr:colOff>
      <xdr:row>4</xdr:row>
      <xdr:rowOff>104775</xdr:rowOff>
    </xdr:to>
    <xdr:sp macro="" textlink="">
      <xdr:nvSpPr>
        <xdr:cNvPr id="15" name="Bisel 14">
          <a:hlinkClick xmlns:r="http://schemas.openxmlformats.org/officeDocument/2006/relationships" r:id="rId5" tooltip="Créditos"/>
        </xdr:cNvPr>
        <xdr:cNvSpPr/>
      </xdr:nvSpPr>
      <xdr:spPr>
        <a:xfrm>
          <a:off x="1428750" y="619125"/>
          <a:ext cx="1076325" cy="304800"/>
        </a:xfrm>
        <a:prstGeom prst="bevel">
          <a:avLst/>
        </a:prstGeom>
        <a:solidFill>
          <a:schemeClr val="tx2"/>
        </a:solidFill>
        <a:ln w="12700">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050" b="1">
              <a:solidFill>
                <a:schemeClr val="bg1"/>
              </a:solidFill>
            </a:rPr>
            <a:t>Créditos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3</xdr:row>
      <xdr:rowOff>142875</xdr:rowOff>
    </xdr:from>
    <xdr:to>
      <xdr:col>8</xdr:col>
      <xdr:colOff>466725</xdr:colOff>
      <xdr:row>3</xdr:row>
      <xdr:rowOff>381000</xdr:rowOff>
    </xdr:to>
    <xdr:sp macro="" textlink="">
      <xdr:nvSpPr>
        <xdr:cNvPr id="3" name="Bisel 2">
          <a:hlinkClick xmlns:r="http://schemas.openxmlformats.org/officeDocument/2006/relationships" r:id="rId1" tooltip="Voltar"/>
        </xdr:cNvPr>
        <xdr:cNvSpPr/>
      </xdr:nvSpPr>
      <xdr:spPr>
        <a:xfrm>
          <a:off x="5038725" y="142875"/>
          <a:ext cx="1047750" cy="238125"/>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a:t>Voltar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3</xdr:row>
      <xdr:rowOff>142875</xdr:rowOff>
    </xdr:from>
    <xdr:to>
      <xdr:col>8</xdr:col>
      <xdr:colOff>466725</xdr:colOff>
      <xdr:row>3</xdr:row>
      <xdr:rowOff>381000</xdr:rowOff>
    </xdr:to>
    <xdr:sp macro="" textlink="">
      <xdr:nvSpPr>
        <xdr:cNvPr id="2" name="Bisel 1">
          <a:hlinkClick xmlns:r="http://schemas.openxmlformats.org/officeDocument/2006/relationships" r:id="rId1" tooltip="Voltar"/>
        </xdr:cNvPr>
        <xdr:cNvSpPr/>
      </xdr:nvSpPr>
      <xdr:spPr>
        <a:xfrm>
          <a:off x="4762500" y="142875"/>
          <a:ext cx="981075" cy="238125"/>
        </a:xfrm>
        <a:prstGeom prst="bevel">
          <a:avLst/>
        </a:prstGeom>
        <a:solidFill>
          <a:schemeClr val="tx2"/>
        </a:solidFill>
        <a:ln w="1270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1100"/>
            <a:t>Voltar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295276</xdr:colOff>
      <xdr:row>17</xdr:row>
      <xdr:rowOff>114300</xdr:rowOff>
    </xdr:from>
    <xdr:to>
      <xdr:col>7</xdr:col>
      <xdr:colOff>447676</xdr:colOff>
      <xdr:row>20</xdr:row>
      <xdr:rowOff>66676</xdr:rowOff>
    </xdr:to>
    <xdr:sp macro="" textlink="">
      <xdr:nvSpPr>
        <xdr:cNvPr id="2" name="Bisel 1">
          <a:hlinkClick xmlns:r="http://schemas.openxmlformats.org/officeDocument/2006/relationships" r:id="rId1" tooltip="Intro"/>
        </xdr:cNvPr>
        <xdr:cNvSpPr/>
      </xdr:nvSpPr>
      <xdr:spPr>
        <a:xfrm>
          <a:off x="3343276" y="3352800"/>
          <a:ext cx="1371600" cy="495301"/>
        </a:xfrm>
        <a:prstGeom prst="bevel">
          <a:avLst/>
        </a:prstGeom>
        <a:solidFill>
          <a:schemeClr val="tx2"/>
        </a:solidFill>
        <a:ln w="6350">
          <a:gradFill>
            <a:gsLst>
              <a:gs pos="0">
                <a:srgbClr val="5E9EFF"/>
              </a:gs>
              <a:gs pos="39999">
                <a:srgbClr val="85C2FF"/>
              </a:gs>
              <a:gs pos="70000">
                <a:srgbClr val="C4D6EB"/>
              </a:gs>
              <a:gs pos="100000">
                <a:srgbClr val="FFEBFA"/>
              </a:gs>
            </a:gsLst>
            <a:lin ang="5400000" scaled="0"/>
          </a:gra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pt-BR" sz="900" b="1">
              <a:solidFill>
                <a:schemeClr val="bg1"/>
              </a:solidFill>
              <a:latin typeface="Arial" pitchFamily="34" charset="0"/>
              <a:cs typeface="Arial" pitchFamily="34" charset="0"/>
            </a:rPr>
            <a:t>Voltar</a:t>
          </a:r>
          <a:r>
            <a:rPr lang="pt-BR" sz="900" b="1" baseline="0">
              <a:solidFill>
                <a:schemeClr val="bg1"/>
              </a:solidFill>
              <a:latin typeface="Arial" pitchFamily="34" charset="0"/>
              <a:cs typeface="Arial" pitchFamily="34" charset="0"/>
            </a:rPr>
            <a:t> ao início</a:t>
          </a:r>
          <a:endParaRPr lang="pt-BR" sz="900" b="1">
            <a:solidFill>
              <a:schemeClr val="bg1"/>
            </a:solidFill>
            <a:latin typeface="Arial" pitchFamily="34" charset="0"/>
            <a:cs typeface="Arial" pitchFamily="34" charset="0"/>
          </a:endParaRPr>
        </a:p>
      </xdr:txBody>
    </xdr:sp>
    <xdr:clientData/>
  </xdr:twoCellAnchor>
  <xdr:twoCellAnchor editAs="oneCell">
    <xdr:from>
      <xdr:col>3</xdr:col>
      <xdr:colOff>466725</xdr:colOff>
      <xdr:row>5</xdr:row>
      <xdr:rowOff>95249</xdr:rowOff>
    </xdr:from>
    <xdr:to>
      <xdr:col>3</xdr:col>
      <xdr:colOff>466725</xdr:colOff>
      <xdr:row>8</xdr:row>
      <xdr:rowOff>80390</xdr:rowOff>
    </xdr:to>
    <xdr:pic>
      <xdr:nvPicPr>
        <xdr:cNvPr id="3" name="Picture 3">
          <a:hlinkClick xmlns:r="http://schemas.openxmlformats.org/officeDocument/2006/relationships" r:id="rId2" tooltip="Bolsa ICMS Goiás"/>
        </xdr:cNvPr>
        <xdr:cNvPicPr>
          <a:picLocks noChangeAspect="1" noChangeArrowheads="1"/>
        </xdr:cNvPicPr>
      </xdr:nvPicPr>
      <xdr:blipFill>
        <a:blip xmlns:r="http://schemas.openxmlformats.org/officeDocument/2006/relationships" r:embed="rId3"/>
        <a:srcRect/>
        <a:stretch>
          <a:fillRect/>
        </a:stretch>
      </xdr:blipFill>
      <xdr:spPr bwMode="auto">
        <a:xfrm>
          <a:off x="2295525" y="1152524"/>
          <a:ext cx="1508760" cy="528066"/>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XFC30"/>
  <sheetViews>
    <sheetView showGridLines="0" showRowColHeaders="0" tabSelected="1" zoomScale="110" zoomScaleNormal="110" workbookViewId="0">
      <selection activeCell="P26" sqref="P26"/>
    </sheetView>
  </sheetViews>
  <sheetFormatPr defaultColWidth="0" defaultRowHeight="15" zeroHeight="1" x14ac:dyDescent="0.25"/>
  <cols>
    <col min="1" max="1" width="1.140625" style="2" customWidth="1"/>
    <col min="2" max="2" width="3.28515625" style="2" customWidth="1"/>
    <col min="3" max="3" width="3.5703125" style="2" customWidth="1"/>
    <col min="4" max="15" width="9.140625" style="2" customWidth="1"/>
    <col min="16" max="16" width="7.42578125" style="2" customWidth="1"/>
    <col min="17" max="17" width="4.140625" style="2" customWidth="1"/>
    <col min="18" max="6839" width="9.140625" style="2" hidden="1"/>
    <col min="6840" max="6840" width="4.5703125" style="2" hidden="1"/>
    <col min="6841" max="16383" width="9.140625" style="2" hidden="1"/>
    <col min="16384" max="16384" width="1" style="56" hidden="1"/>
  </cols>
  <sheetData>
    <row r="1" spans="1:17" s="88" customFormat="1" ht="6" customHeight="1" x14ac:dyDescent="0.25">
      <c r="A1" s="74"/>
    </row>
    <row r="2" spans="1:17" ht="18" customHeight="1" x14ac:dyDescent="0.25">
      <c r="A2" s="73"/>
      <c r="B2" s="56"/>
      <c r="C2" s="56"/>
      <c r="D2" s="91" t="s">
        <v>25</v>
      </c>
      <c r="E2" s="56"/>
      <c r="F2" s="56"/>
      <c r="G2" s="56"/>
      <c r="H2" s="56"/>
      <c r="I2" s="56"/>
      <c r="J2" s="56"/>
      <c r="K2" s="56"/>
      <c r="L2" s="56"/>
      <c r="M2" s="56"/>
      <c r="N2" s="56"/>
      <c r="O2" s="56"/>
      <c r="P2" s="56"/>
      <c r="Q2" s="56"/>
    </row>
    <row r="3" spans="1:17" x14ac:dyDescent="0.25">
      <c r="A3" s="73"/>
      <c r="B3" s="56"/>
      <c r="C3" s="56"/>
      <c r="D3" s="56"/>
      <c r="E3" s="56"/>
      <c r="F3" s="56"/>
      <c r="G3" s="56"/>
      <c r="H3" s="56"/>
      <c r="I3" s="56"/>
      <c r="J3" s="56"/>
      <c r="K3" s="56"/>
      <c r="L3" s="56"/>
      <c r="M3" s="56"/>
      <c r="N3" s="56"/>
      <c r="O3" s="56"/>
      <c r="P3" s="56"/>
      <c r="Q3" s="56"/>
    </row>
    <row r="4" spans="1:17" ht="15" customHeight="1" x14ac:dyDescent="0.25">
      <c r="A4" s="73"/>
      <c r="B4" s="56"/>
      <c r="C4" s="56"/>
      <c r="D4" s="95" t="s">
        <v>26</v>
      </c>
      <c r="E4" s="95"/>
      <c r="F4" s="95"/>
      <c r="G4" s="95"/>
      <c r="H4" s="95"/>
      <c r="I4" s="95"/>
      <c r="J4" s="95"/>
      <c r="K4" s="95"/>
      <c r="L4" s="95"/>
      <c r="M4" s="95"/>
      <c r="N4" s="95"/>
      <c r="O4" s="95"/>
      <c r="P4" s="95"/>
      <c r="Q4" s="56"/>
    </row>
    <row r="5" spans="1:17" x14ac:dyDescent="0.25">
      <c r="A5" s="73"/>
      <c r="B5" s="56"/>
      <c r="C5" s="56"/>
      <c r="D5" s="95"/>
      <c r="E5" s="95"/>
      <c r="F5" s="95"/>
      <c r="G5" s="95"/>
      <c r="H5" s="95"/>
      <c r="I5" s="95"/>
      <c r="J5" s="95"/>
      <c r="K5" s="95"/>
      <c r="L5" s="95"/>
      <c r="M5" s="95"/>
      <c r="N5" s="95"/>
      <c r="O5" s="95"/>
      <c r="P5" s="95"/>
      <c r="Q5" s="56"/>
    </row>
    <row r="6" spans="1:17" x14ac:dyDescent="0.25">
      <c r="A6" s="73"/>
      <c r="B6" s="56"/>
      <c r="C6" s="56"/>
      <c r="D6" s="95"/>
      <c r="E6" s="95"/>
      <c r="F6" s="95"/>
      <c r="G6" s="95"/>
      <c r="H6" s="95"/>
      <c r="I6" s="95"/>
      <c r="J6" s="95"/>
      <c r="K6" s="95"/>
      <c r="L6" s="95"/>
      <c r="M6" s="95"/>
      <c r="N6" s="95"/>
      <c r="O6" s="95"/>
      <c r="P6" s="95"/>
      <c r="Q6" s="56"/>
    </row>
    <row r="7" spans="1:17" x14ac:dyDescent="0.25">
      <c r="A7" s="73"/>
      <c r="B7" s="56"/>
      <c r="C7" s="56"/>
      <c r="D7" s="95"/>
      <c r="E7" s="95"/>
      <c r="F7" s="95"/>
      <c r="G7" s="95"/>
      <c r="H7" s="95"/>
      <c r="I7" s="95"/>
      <c r="J7" s="95"/>
      <c r="K7" s="95"/>
      <c r="L7" s="95"/>
      <c r="M7" s="95"/>
      <c r="N7" s="95"/>
      <c r="O7" s="95"/>
      <c r="P7" s="95"/>
      <c r="Q7" s="56"/>
    </row>
    <row r="8" spans="1:17" x14ac:dyDescent="0.25">
      <c r="A8" s="73"/>
      <c r="B8" s="56"/>
      <c r="C8" s="56"/>
      <c r="D8" s="95"/>
      <c r="E8" s="95"/>
      <c r="F8" s="95"/>
      <c r="G8" s="95"/>
      <c r="H8" s="95"/>
      <c r="I8" s="95"/>
      <c r="J8" s="95"/>
      <c r="K8" s="95"/>
      <c r="L8" s="95"/>
      <c r="M8" s="95"/>
      <c r="N8" s="95"/>
      <c r="O8" s="95"/>
      <c r="P8" s="95"/>
      <c r="Q8" s="56"/>
    </row>
    <row r="9" spans="1:17" x14ac:dyDescent="0.25">
      <c r="A9" s="73"/>
      <c r="B9" s="56"/>
      <c r="C9" s="56"/>
      <c r="D9" s="95"/>
      <c r="E9" s="95"/>
      <c r="F9" s="95"/>
      <c r="G9" s="95"/>
      <c r="H9" s="95"/>
      <c r="I9" s="95"/>
      <c r="J9" s="95"/>
      <c r="K9" s="95"/>
      <c r="L9" s="95"/>
      <c r="M9" s="95"/>
      <c r="N9" s="95"/>
      <c r="O9" s="95"/>
      <c r="P9" s="95"/>
      <c r="Q9" s="56"/>
    </row>
    <row r="10" spans="1:17" x14ac:dyDescent="0.25">
      <c r="A10" s="73"/>
      <c r="B10" s="56"/>
      <c r="C10" s="56"/>
      <c r="D10" s="95"/>
      <c r="E10" s="95"/>
      <c r="F10" s="95"/>
      <c r="G10" s="95"/>
      <c r="H10" s="95"/>
      <c r="I10" s="95"/>
      <c r="J10" s="95"/>
      <c r="K10" s="95"/>
      <c r="L10" s="95"/>
      <c r="M10" s="95"/>
      <c r="N10" s="95"/>
      <c r="O10" s="95"/>
      <c r="P10" s="95"/>
      <c r="Q10" s="56"/>
    </row>
    <row r="11" spans="1:17" x14ac:dyDescent="0.25">
      <c r="A11" s="73"/>
      <c r="B11" s="56"/>
      <c r="C11" s="56"/>
      <c r="D11" s="95"/>
      <c r="E11" s="95"/>
      <c r="F11" s="95"/>
      <c r="G11" s="95"/>
      <c r="H11" s="95"/>
      <c r="I11" s="95"/>
      <c r="J11" s="95"/>
      <c r="K11" s="95"/>
      <c r="L11" s="95"/>
      <c r="M11" s="95"/>
      <c r="N11" s="95"/>
      <c r="O11" s="95"/>
      <c r="P11" s="95"/>
      <c r="Q11" s="56"/>
    </row>
    <row r="12" spans="1:17" x14ac:dyDescent="0.25">
      <c r="A12" s="73"/>
      <c r="B12" s="56"/>
      <c r="C12" s="56"/>
      <c r="D12" s="95"/>
      <c r="E12" s="95"/>
      <c r="F12" s="95"/>
      <c r="G12" s="95"/>
      <c r="H12" s="95"/>
      <c r="I12" s="95"/>
      <c r="J12" s="95"/>
      <c r="K12" s="95"/>
      <c r="L12" s="95"/>
      <c r="M12" s="95"/>
      <c r="N12" s="95"/>
      <c r="O12" s="95"/>
      <c r="P12" s="95"/>
      <c r="Q12" s="56"/>
    </row>
    <row r="13" spans="1:17" x14ac:dyDescent="0.25">
      <c r="A13" s="73"/>
      <c r="B13" s="56"/>
      <c r="C13" s="56"/>
      <c r="D13" s="95"/>
      <c r="E13" s="95"/>
      <c r="F13" s="95"/>
      <c r="G13" s="95"/>
      <c r="H13" s="95"/>
      <c r="I13" s="95"/>
      <c r="J13" s="95"/>
      <c r="K13" s="95"/>
      <c r="L13" s="95"/>
      <c r="M13" s="95"/>
      <c r="N13" s="95"/>
      <c r="O13" s="95"/>
      <c r="P13" s="95"/>
      <c r="Q13" s="56"/>
    </row>
    <row r="14" spans="1:17" x14ac:dyDescent="0.25">
      <c r="A14" s="73"/>
      <c r="B14" s="56"/>
      <c r="C14" s="56"/>
      <c r="D14" s="95"/>
      <c r="E14" s="95"/>
      <c r="F14" s="95"/>
      <c r="G14" s="95"/>
      <c r="H14" s="95"/>
      <c r="I14" s="95"/>
      <c r="J14" s="95"/>
      <c r="K14" s="95"/>
      <c r="L14" s="95"/>
      <c r="M14" s="95"/>
      <c r="N14" s="95"/>
      <c r="O14" s="95"/>
      <c r="P14" s="95"/>
      <c r="Q14" s="56"/>
    </row>
    <row r="15" spans="1:17" x14ac:dyDescent="0.25">
      <c r="A15" s="73"/>
      <c r="B15" s="56"/>
      <c r="C15" s="56"/>
      <c r="D15" s="95"/>
      <c r="E15" s="95"/>
      <c r="F15" s="95"/>
      <c r="G15" s="95"/>
      <c r="H15" s="95"/>
      <c r="I15" s="95"/>
      <c r="J15" s="95"/>
      <c r="K15" s="95"/>
      <c r="L15" s="95"/>
      <c r="M15" s="95"/>
      <c r="N15" s="95"/>
      <c r="O15" s="95"/>
      <c r="P15" s="95"/>
      <c r="Q15" s="56"/>
    </row>
    <row r="16" spans="1:17" x14ac:dyDescent="0.25">
      <c r="A16" s="73"/>
      <c r="B16" s="56"/>
      <c r="C16" s="56"/>
      <c r="D16" s="95"/>
      <c r="E16" s="95"/>
      <c r="F16" s="95"/>
      <c r="G16" s="95"/>
      <c r="H16" s="95"/>
      <c r="I16" s="95"/>
      <c r="J16" s="95"/>
      <c r="K16" s="95"/>
      <c r="L16" s="95"/>
      <c r="M16" s="95"/>
      <c r="N16" s="95"/>
      <c r="O16" s="95"/>
      <c r="P16" s="95"/>
      <c r="Q16" s="56"/>
    </row>
    <row r="17" spans="1:17" x14ac:dyDescent="0.25">
      <c r="A17" s="73"/>
      <c r="B17" s="56"/>
      <c r="C17" s="56"/>
      <c r="D17" s="56"/>
      <c r="E17" s="56"/>
      <c r="F17" s="56"/>
      <c r="G17" s="56"/>
      <c r="H17" s="56"/>
      <c r="I17" s="56"/>
      <c r="J17" s="56"/>
      <c r="K17" s="56"/>
      <c r="L17" s="56"/>
      <c r="M17" s="56"/>
      <c r="N17" s="56"/>
      <c r="O17" s="56"/>
      <c r="P17" s="56"/>
      <c r="Q17" s="56"/>
    </row>
    <row r="18" spans="1:17" x14ac:dyDescent="0.25">
      <c r="A18" s="73"/>
      <c r="B18" s="56"/>
      <c r="C18" s="56"/>
      <c r="D18" s="90" t="s">
        <v>19</v>
      </c>
      <c r="E18" s="56"/>
      <c r="F18" s="56"/>
      <c r="G18" s="56"/>
      <c r="H18" s="56"/>
      <c r="I18" s="56"/>
      <c r="J18" s="56"/>
      <c r="K18" s="56"/>
      <c r="L18" s="56"/>
      <c r="M18" s="56"/>
      <c r="N18" s="56"/>
      <c r="O18" s="56"/>
      <c r="P18" s="56"/>
      <c r="Q18" s="56"/>
    </row>
    <row r="19" spans="1:17" x14ac:dyDescent="0.25">
      <c r="A19" s="73"/>
      <c r="B19" s="56"/>
      <c r="C19" s="56"/>
      <c r="D19" s="56"/>
      <c r="E19" s="56"/>
      <c r="F19" s="56"/>
      <c r="G19" s="56"/>
      <c r="H19" s="56"/>
      <c r="I19" s="56"/>
      <c r="J19" s="56"/>
      <c r="K19" s="56"/>
      <c r="L19" s="56"/>
      <c r="M19" s="56"/>
      <c r="N19" s="56"/>
      <c r="O19" s="56"/>
      <c r="P19" s="56"/>
      <c r="Q19" s="56"/>
    </row>
    <row r="20" spans="1:17" x14ac:dyDescent="0.25">
      <c r="A20" s="73"/>
      <c r="B20" s="56"/>
      <c r="C20" s="56"/>
      <c r="D20" s="57"/>
      <c r="E20" s="56"/>
      <c r="F20" s="56"/>
      <c r="G20" s="56"/>
      <c r="H20" s="56"/>
      <c r="I20" s="56"/>
      <c r="J20" s="56"/>
      <c r="K20" s="56"/>
      <c r="L20" s="56"/>
      <c r="M20" s="56"/>
      <c r="N20" s="56"/>
      <c r="O20" s="56"/>
      <c r="P20" s="56"/>
      <c r="Q20" s="56"/>
    </row>
    <row r="21" spans="1:17" ht="15" customHeight="1" x14ac:dyDescent="0.25">
      <c r="A21" s="73"/>
      <c r="B21" s="56"/>
      <c r="C21" s="56"/>
      <c r="D21" s="96" t="s">
        <v>30</v>
      </c>
      <c r="E21" s="96"/>
      <c r="F21" s="96"/>
      <c r="G21" s="96"/>
      <c r="H21" s="96"/>
      <c r="I21" s="96"/>
      <c r="J21" s="96"/>
      <c r="K21" s="96"/>
      <c r="L21" s="96"/>
      <c r="M21" s="96"/>
      <c r="N21" s="96"/>
      <c r="O21" s="96"/>
      <c r="P21" s="96"/>
      <c r="Q21" s="56"/>
    </row>
    <row r="22" spans="1:17" x14ac:dyDescent="0.25">
      <c r="A22" s="73"/>
      <c r="B22" s="56"/>
      <c r="C22" s="56"/>
      <c r="D22" s="97"/>
      <c r="E22" s="97"/>
      <c r="F22" s="97"/>
      <c r="G22" s="97"/>
      <c r="H22" s="97"/>
      <c r="I22" s="97"/>
      <c r="J22" s="97"/>
      <c r="K22" s="97"/>
      <c r="L22" s="97"/>
      <c r="M22" s="97"/>
      <c r="N22" s="97"/>
      <c r="O22" s="97"/>
      <c r="P22" s="97"/>
      <c r="Q22" s="56"/>
    </row>
    <row r="23" spans="1:17" x14ac:dyDescent="0.25">
      <c r="A23" s="73"/>
      <c r="B23" s="56"/>
      <c r="C23" s="56"/>
      <c r="D23" s="89"/>
      <c r="E23" s="89"/>
      <c r="F23" s="89"/>
      <c r="G23" s="89"/>
      <c r="H23" s="89"/>
      <c r="I23" s="89"/>
      <c r="J23" s="89"/>
      <c r="K23" s="89"/>
      <c r="L23" s="89"/>
      <c r="M23" s="56"/>
      <c r="N23" s="56"/>
      <c r="O23" s="56"/>
      <c r="P23" s="56"/>
      <c r="Q23" s="56"/>
    </row>
    <row r="24" spans="1:17" x14ac:dyDescent="0.25">
      <c r="A24" s="73"/>
      <c r="B24" s="56"/>
      <c r="C24" s="56"/>
      <c r="D24" s="89"/>
      <c r="E24" s="89"/>
      <c r="F24" s="89"/>
      <c r="G24" s="89"/>
      <c r="H24" s="89"/>
      <c r="I24" s="89"/>
      <c r="J24" s="89"/>
      <c r="K24" s="89"/>
      <c r="L24" s="89"/>
      <c r="M24" s="56"/>
      <c r="N24" s="56"/>
      <c r="O24" s="56"/>
      <c r="P24" s="56"/>
      <c r="Q24" s="56"/>
    </row>
    <row r="25" spans="1:17" x14ac:dyDescent="0.25">
      <c r="A25" s="73"/>
      <c r="B25" s="56"/>
      <c r="C25" s="56"/>
      <c r="D25" s="58"/>
      <c r="E25" s="56"/>
      <c r="F25" s="56"/>
      <c r="G25" s="56"/>
      <c r="H25" s="56"/>
      <c r="I25" s="56"/>
      <c r="J25" s="56"/>
      <c r="K25" s="56"/>
      <c r="L25" s="56"/>
      <c r="M25" s="56"/>
      <c r="N25" s="56"/>
      <c r="O25" s="56"/>
      <c r="P25" s="56"/>
      <c r="Q25" s="56"/>
    </row>
    <row r="26" spans="1:17" x14ac:dyDescent="0.25">
      <c r="A26" s="73"/>
      <c r="B26" s="56"/>
      <c r="C26" s="56"/>
      <c r="D26" s="56"/>
      <c r="E26" s="56"/>
      <c r="F26" s="56"/>
      <c r="G26" s="56"/>
      <c r="H26" s="56"/>
      <c r="I26" s="56"/>
      <c r="J26" s="56"/>
      <c r="K26" s="56"/>
      <c r="L26" s="56"/>
      <c r="M26" s="56"/>
      <c r="N26" s="56"/>
      <c r="O26" s="56"/>
      <c r="P26" s="56"/>
      <c r="Q26" s="56"/>
    </row>
    <row r="27" spans="1:17" ht="21" customHeight="1" x14ac:dyDescent="0.25">
      <c r="A27" s="73"/>
      <c r="B27" s="56"/>
      <c r="C27" s="56"/>
      <c r="D27" s="56"/>
      <c r="E27" s="56"/>
      <c r="F27" s="56"/>
      <c r="G27" s="56"/>
      <c r="H27" s="56"/>
      <c r="I27" s="56"/>
      <c r="J27" s="56"/>
      <c r="K27" s="56"/>
      <c r="L27" s="56"/>
      <c r="M27" s="56"/>
      <c r="N27" s="56"/>
      <c r="O27" s="56"/>
      <c r="P27" s="56"/>
      <c r="Q27" s="56"/>
    </row>
    <row r="28" spans="1:17" hidden="1" x14ac:dyDescent="0.25">
      <c r="A28" s="56"/>
      <c r="B28" s="56"/>
      <c r="C28" s="56"/>
      <c r="D28" s="56"/>
      <c r="E28" s="56"/>
      <c r="F28" s="56"/>
      <c r="G28" s="56"/>
      <c r="H28" s="56"/>
      <c r="I28" s="56"/>
      <c r="J28" s="56"/>
      <c r="K28" s="56"/>
      <c r="L28" s="56"/>
    </row>
    <row r="29" spans="1:17" hidden="1" x14ac:dyDescent="0.25">
      <c r="A29" s="56"/>
      <c r="B29" s="56"/>
      <c r="C29" s="56"/>
      <c r="D29" s="56"/>
      <c r="E29" s="56"/>
      <c r="F29" s="56"/>
      <c r="G29" s="56"/>
      <c r="H29" s="56"/>
      <c r="I29" s="56"/>
      <c r="J29" s="56"/>
      <c r="K29" s="56"/>
      <c r="L29" s="56"/>
    </row>
    <row r="30" spans="1:17" hidden="1" x14ac:dyDescent="0.25">
      <c r="A30" s="56"/>
      <c r="B30" s="56"/>
      <c r="C30" s="56"/>
      <c r="D30" s="56"/>
      <c r="E30" s="56"/>
      <c r="F30" s="56"/>
      <c r="G30" s="56"/>
      <c r="H30" s="56"/>
      <c r="I30" s="56"/>
      <c r="J30" s="56"/>
      <c r="K30" s="56"/>
      <c r="L30" s="56"/>
    </row>
  </sheetData>
  <sheetProtection password="C10D" sheet="1" objects="1" scenarios="1" selectLockedCells="1" selectUnlockedCells="1"/>
  <mergeCells count="2">
    <mergeCell ref="D4:P16"/>
    <mergeCell ref="D21:P22"/>
  </mergeCells>
  <printOptions horizontalCentered="1" verticalCentered="1"/>
  <pageMargins left="0.51181102362204722" right="0.51181102362204722" top="1.181102362204724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O37"/>
  <sheetViews>
    <sheetView showGridLines="0" showRowColHeaders="0" zoomScale="110" zoomScaleNormal="110" workbookViewId="0"/>
  </sheetViews>
  <sheetFormatPr defaultColWidth="0" defaultRowHeight="15" customHeight="1" zeroHeight="1" x14ac:dyDescent="0.25"/>
  <cols>
    <col min="1" max="1" width="1.140625" style="2" customWidth="1"/>
    <col min="2" max="15" width="9.140625" style="2" customWidth="1"/>
    <col min="16" max="16384" width="9.140625" style="2" hidden="1"/>
  </cols>
  <sheetData>
    <row r="1" spans="1:15" s="43" customFormat="1" ht="6.75" customHeight="1" x14ac:dyDescent="0.15">
      <c r="A1" s="77"/>
      <c r="B1" s="78"/>
      <c r="C1" s="78"/>
      <c r="D1" s="78"/>
      <c r="E1" s="78"/>
      <c r="F1" s="78"/>
      <c r="G1" s="78"/>
      <c r="H1" s="78"/>
      <c r="I1" s="78"/>
      <c r="J1" s="78"/>
      <c r="K1" s="78"/>
      <c r="L1" s="78"/>
      <c r="M1" s="78"/>
      <c r="N1" s="78"/>
      <c r="O1" s="78"/>
    </row>
    <row r="2" spans="1:15" s="43" customFormat="1" ht="10.5" customHeight="1" x14ac:dyDescent="0.15">
      <c r="A2" s="76"/>
      <c r="B2" s="75"/>
      <c r="C2" s="75"/>
      <c r="D2" s="75"/>
      <c r="E2" s="75"/>
      <c r="F2" s="75"/>
      <c r="G2" s="75"/>
      <c r="H2" s="75"/>
      <c r="I2" s="75"/>
      <c r="J2" s="75"/>
      <c r="K2" s="55"/>
      <c r="L2" s="55"/>
      <c r="M2" s="55"/>
      <c r="N2" s="55"/>
      <c r="O2" s="55"/>
    </row>
    <row r="3" spans="1:15" s="43" customFormat="1" ht="10.5" customHeight="1" x14ac:dyDescent="0.15">
      <c r="A3" s="76"/>
      <c r="B3" s="85"/>
      <c r="C3" s="87"/>
      <c r="D3" s="87"/>
      <c r="E3" s="87"/>
      <c r="F3" s="87"/>
      <c r="G3" s="87"/>
      <c r="H3" s="87"/>
      <c r="I3" s="87"/>
      <c r="J3" s="87"/>
      <c r="K3" s="87"/>
      <c r="L3" s="87"/>
      <c r="M3" s="87"/>
      <c r="N3" s="87"/>
      <c r="O3" s="87"/>
    </row>
    <row r="4" spans="1:15" s="43" customFormat="1" ht="10.5" customHeight="1" x14ac:dyDescent="0.15">
      <c r="A4" s="76"/>
      <c r="B4" s="98" t="s">
        <v>28</v>
      </c>
      <c r="C4" s="99"/>
      <c r="D4" s="99"/>
      <c r="E4" s="99"/>
      <c r="F4" s="99"/>
      <c r="G4" s="99"/>
      <c r="H4" s="99"/>
      <c r="I4" s="99"/>
      <c r="J4" s="99"/>
      <c r="K4" s="99"/>
      <c r="L4" s="99"/>
      <c r="M4" s="99"/>
      <c r="N4" s="99"/>
      <c r="O4" s="99"/>
    </row>
    <row r="5" spans="1:15" s="43" customFormat="1" ht="10.5" customHeight="1" x14ac:dyDescent="0.15">
      <c r="A5" s="76"/>
      <c r="B5" s="98"/>
      <c r="C5" s="99"/>
      <c r="D5" s="99"/>
      <c r="E5" s="99"/>
      <c r="F5" s="99"/>
      <c r="G5" s="99"/>
      <c r="H5" s="99"/>
      <c r="I5" s="99"/>
      <c r="J5" s="99"/>
      <c r="K5" s="99"/>
      <c r="L5" s="99"/>
      <c r="M5" s="99"/>
      <c r="N5" s="99"/>
      <c r="O5" s="99"/>
    </row>
    <row r="6" spans="1:15" s="43" customFormat="1" ht="10.5" customHeight="1" x14ac:dyDescent="0.15">
      <c r="A6" s="76"/>
      <c r="B6" s="98"/>
      <c r="C6" s="99"/>
      <c r="D6" s="99"/>
      <c r="E6" s="99"/>
      <c r="F6" s="99"/>
      <c r="G6" s="99"/>
      <c r="H6" s="99"/>
      <c r="I6" s="99"/>
      <c r="J6" s="99"/>
      <c r="K6" s="99"/>
      <c r="L6" s="99"/>
      <c r="M6" s="99"/>
      <c r="N6" s="99"/>
      <c r="O6" s="99"/>
    </row>
    <row r="7" spans="1:15" s="43" customFormat="1" ht="10.5" customHeight="1" x14ac:dyDescent="0.15">
      <c r="A7" s="76"/>
      <c r="B7" s="98"/>
      <c r="C7" s="99"/>
      <c r="D7" s="99"/>
      <c r="E7" s="99"/>
      <c r="F7" s="99"/>
      <c r="G7" s="99"/>
      <c r="H7" s="99"/>
      <c r="I7" s="99"/>
      <c r="J7" s="99"/>
      <c r="K7" s="99"/>
      <c r="L7" s="99"/>
      <c r="M7" s="99"/>
      <c r="N7" s="99"/>
      <c r="O7" s="99"/>
    </row>
    <row r="8" spans="1:15" s="43" customFormat="1" ht="10.5" customHeight="1" x14ac:dyDescent="0.15">
      <c r="A8" s="76"/>
      <c r="B8" s="98"/>
      <c r="C8" s="99"/>
      <c r="D8" s="99"/>
      <c r="E8" s="99"/>
      <c r="F8" s="99"/>
      <c r="G8" s="99"/>
      <c r="H8" s="99"/>
      <c r="I8" s="99"/>
      <c r="J8" s="99"/>
      <c r="K8" s="99"/>
      <c r="L8" s="99"/>
      <c r="M8" s="99"/>
      <c r="N8" s="99"/>
      <c r="O8" s="99"/>
    </row>
    <row r="9" spans="1:15" s="43" customFormat="1" ht="10.5" customHeight="1" x14ac:dyDescent="0.15">
      <c r="A9" s="76"/>
      <c r="B9" s="98"/>
      <c r="C9" s="99"/>
      <c r="D9" s="99"/>
      <c r="E9" s="99"/>
      <c r="F9" s="99"/>
      <c r="G9" s="99"/>
      <c r="H9" s="99"/>
      <c r="I9" s="99"/>
      <c r="J9" s="99"/>
      <c r="K9" s="99"/>
      <c r="L9" s="99"/>
      <c r="M9" s="99"/>
      <c r="N9" s="99"/>
      <c r="O9" s="99"/>
    </row>
    <row r="10" spans="1:15" s="43" customFormat="1" ht="10.5" customHeight="1" x14ac:dyDescent="0.15">
      <c r="A10" s="76"/>
      <c r="B10" s="98"/>
      <c r="C10" s="99"/>
      <c r="D10" s="99"/>
      <c r="E10" s="99"/>
      <c r="F10" s="99"/>
      <c r="G10" s="99"/>
      <c r="H10" s="99"/>
      <c r="I10" s="99"/>
      <c r="J10" s="99"/>
      <c r="K10" s="99"/>
      <c r="L10" s="99"/>
      <c r="M10" s="99"/>
      <c r="N10" s="99"/>
      <c r="O10" s="99"/>
    </row>
    <row r="11" spans="1:15" s="43" customFormat="1" ht="10.5" customHeight="1" x14ac:dyDescent="0.15">
      <c r="A11" s="76"/>
      <c r="B11" s="98"/>
      <c r="C11" s="99"/>
      <c r="D11" s="99"/>
      <c r="E11" s="99"/>
      <c r="F11" s="99"/>
      <c r="G11" s="99"/>
      <c r="H11" s="99"/>
      <c r="I11" s="99"/>
      <c r="J11" s="99"/>
      <c r="K11" s="99"/>
      <c r="L11" s="99"/>
      <c r="M11" s="99"/>
      <c r="N11" s="99"/>
      <c r="O11" s="99"/>
    </row>
    <row r="12" spans="1:15" s="43" customFormat="1" ht="10.5" customHeight="1" x14ac:dyDescent="0.15">
      <c r="A12" s="76"/>
      <c r="B12" s="98"/>
      <c r="C12" s="99"/>
      <c r="D12" s="99"/>
      <c r="E12" s="99"/>
      <c r="F12" s="99"/>
      <c r="G12" s="99"/>
      <c r="H12" s="99"/>
      <c r="I12" s="99"/>
      <c r="J12" s="99"/>
      <c r="K12" s="99"/>
      <c r="L12" s="99"/>
      <c r="M12" s="99"/>
      <c r="N12" s="99"/>
      <c r="O12" s="99"/>
    </row>
    <row r="13" spans="1:15" s="43" customFormat="1" ht="10.5" customHeight="1" x14ac:dyDescent="0.15">
      <c r="A13" s="76"/>
      <c r="B13" s="98"/>
      <c r="C13" s="99"/>
      <c r="D13" s="99"/>
      <c r="E13" s="99"/>
      <c r="F13" s="99"/>
      <c r="G13" s="99"/>
      <c r="H13" s="99"/>
      <c r="I13" s="99"/>
      <c r="J13" s="99"/>
      <c r="K13" s="99"/>
      <c r="L13" s="99"/>
      <c r="M13" s="99"/>
      <c r="N13" s="99"/>
      <c r="O13" s="99"/>
    </row>
    <row r="14" spans="1:15" s="43" customFormat="1" ht="10.5" customHeight="1" x14ac:dyDescent="0.15">
      <c r="A14" s="76"/>
      <c r="B14" s="98"/>
      <c r="C14" s="99"/>
      <c r="D14" s="99"/>
      <c r="E14" s="99"/>
      <c r="F14" s="99"/>
      <c r="G14" s="99"/>
      <c r="H14" s="99"/>
      <c r="I14" s="99"/>
      <c r="J14" s="99"/>
      <c r="K14" s="99"/>
      <c r="L14" s="99"/>
      <c r="M14" s="99"/>
      <c r="N14" s="99"/>
      <c r="O14" s="99"/>
    </row>
    <row r="15" spans="1:15" s="43" customFormat="1" ht="10.5" customHeight="1" x14ac:dyDescent="0.15">
      <c r="A15" s="76"/>
      <c r="B15" s="98"/>
      <c r="C15" s="99"/>
      <c r="D15" s="99"/>
      <c r="E15" s="99"/>
      <c r="F15" s="99"/>
      <c r="G15" s="99"/>
      <c r="H15" s="99"/>
      <c r="I15" s="99"/>
      <c r="J15" s="99"/>
      <c r="K15" s="99"/>
      <c r="L15" s="99"/>
      <c r="M15" s="99"/>
      <c r="N15" s="99"/>
      <c r="O15" s="99"/>
    </row>
    <row r="16" spans="1:15" s="43" customFormat="1" ht="10.5" customHeight="1" x14ac:dyDescent="0.15">
      <c r="A16" s="76"/>
      <c r="B16" s="98"/>
      <c r="C16" s="99"/>
      <c r="D16" s="99"/>
      <c r="E16" s="99"/>
      <c r="F16" s="99"/>
      <c r="G16" s="99"/>
      <c r="H16" s="99"/>
      <c r="I16" s="99"/>
      <c r="J16" s="99"/>
      <c r="K16" s="99"/>
      <c r="L16" s="99"/>
      <c r="M16" s="99"/>
      <c r="N16" s="99"/>
      <c r="O16" s="99"/>
    </row>
    <row r="17" spans="1:15" s="43" customFormat="1" ht="10.5" customHeight="1" x14ac:dyDescent="0.15">
      <c r="A17" s="76"/>
      <c r="B17" s="98"/>
      <c r="C17" s="99"/>
      <c r="D17" s="99"/>
      <c r="E17" s="99"/>
      <c r="F17" s="99"/>
      <c r="G17" s="99"/>
      <c r="H17" s="99"/>
      <c r="I17" s="99"/>
      <c r="J17" s="99"/>
      <c r="K17" s="99"/>
      <c r="L17" s="99"/>
      <c r="M17" s="99"/>
      <c r="N17" s="99"/>
      <c r="O17" s="99"/>
    </row>
    <row r="18" spans="1:15" s="43" customFormat="1" ht="10.5" customHeight="1" x14ac:dyDescent="0.15">
      <c r="A18" s="76"/>
      <c r="B18" s="98"/>
      <c r="C18" s="99"/>
      <c r="D18" s="99"/>
      <c r="E18" s="99"/>
      <c r="F18" s="99"/>
      <c r="G18" s="99"/>
      <c r="H18" s="99"/>
      <c r="I18" s="99"/>
      <c r="J18" s="99"/>
      <c r="K18" s="99"/>
      <c r="L18" s="99"/>
      <c r="M18" s="99"/>
      <c r="N18" s="99"/>
      <c r="O18" s="99"/>
    </row>
    <row r="19" spans="1:15" s="43" customFormat="1" ht="10.5" customHeight="1" x14ac:dyDescent="0.15">
      <c r="A19" s="76"/>
      <c r="B19" s="98"/>
      <c r="C19" s="99"/>
      <c r="D19" s="99"/>
      <c r="E19" s="99"/>
      <c r="F19" s="99"/>
      <c r="G19" s="99"/>
      <c r="H19" s="99"/>
      <c r="I19" s="99"/>
      <c r="J19" s="99"/>
      <c r="K19" s="99"/>
      <c r="L19" s="99"/>
      <c r="M19" s="99"/>
      <c r="N19" s="99"/>
      <c r="O19" s="99"/>
    </row>
    <row r="20" spans="1:15" s="43" customFormat="1" ht="10.5" customHeight="1" x14ac:dyDescent="0.15">
      <c r="A20" s="76"/>
      <c r="B20" s="98"/>
      <c r="C20" s="99"/>
      <c r="D20" s="99"/>
      <c r="E20" s="99"/>
      <c r="F20" s="99"/>
      <c r="G20" s="99"/>
      <c r="H20" s="99"/>
      <c r="I20" s="99"/>
      <c r="J20" s="99"/>
      <c r="K20" s="99"/>
      <c r="L20" s="99"/>
      <c r="M20" s="99"/>
      <c r="N20" s="99"/>
      <c r="O20" s="99"/>
    </row>
    <row r="21" spans="1:15" s="43" customFormat="1" ht="10.5" customHeight="1" x14ac:dyDescent="0.15">
      <c r="A21" s="76"/>
      <c r="B21" s="98"/>
      <c r="C21" s="99"/>
      <c r="D21" s="99"/>
      <c r="E21" s="99"/>
      <c r="F21" s="99"/>
      <c r="G21" s="99"/>
      <c r="H21" s="99"/>
      <c r="I21" s="99"/>
      <c r="J21" s="99"/>
      <c r="K21" s="99"/>
      <c r="L21" s="99"/>
      <c r="M21" s="99"/>
      <c r="N21" s="99"/>
      <c r="O21" s="99"/>
    </row>
    <row r="22" spans="1:15" s="43" customFormat="1" ht="10.5" customHeight="1" x14ac:dyDescent="0.15">
      <c r="A22" s="76"/>
      <c r="B22" s="98"/>
      <c r="C22" s="99"/>
      <c r="D22" s="99"/>
      <c r="E22" s="99"/>
      <c r="F22" s="99"/>
      <c r="G22" s="99"/>
      <c r="H22" s="99"/>
      <c r="I22" s="99"/>
      <c r="J22" s="99"/>
      <c r="K22" s="99"/>
      <c r="L22" s="99"/>
      <c r="M22" s="99"/>
      <c r="N22" s="99"/>
      <c r="O22" s="99"/>
    </row>
    <row r="23" spans="1:15" s="43" customFormat="1" ht="10.5" customHeight="1" x14ac:dyDescent="0.15">
      <c r="A23" s="76"/>
      <c r="B23" s="98"/>
      <c r="C23" s="99"/>
      <c r="D23" s="99"/>
      <c r="E23" s="99"/>
      <c r="F23" s="99"/>
      <c r="G23" s="99"/>
      <c r="H23" s="99"/>
      <c r="I23" s="99"/>
      <c r="J23" s="99"/>
      <c r="K23" s="99"/>
      <c r="L23" s="99"/>
      <c r="M23" s="99"/>
      <c r="N23" s="99"/>
      <c r="O23" s="99"/>
    </row>
    <row r="24" spans="1:15" s="43" customFormat="1" ht="10.5" customHeight="1" x14ac:dyDescent="0.15">
      <c r="A24" s="76"/>
      <c r="B24" s="98"/>
      <c r="C24" s="99"/>
      <c r="D24" s="99"/>
      <c r="E24" s="99"/>
      <c r="F24" s="99"/>
      <c r="G24" s="99"/>
      <c r="H24" s="99"/>
      <c r="I24" s="99"/>
      <c r="J24" s="99"/>
      <c r="K24" s="99"/>
      <c r="L24" s="99"/>
      <c r="M24" s="99"/>
      <c r="N24" s="99"/>
      <c r="O24" s="99"/>
    </row>
    <row r="25" spans="1:15" s="43" customFormat="1" ht="10.5" customHeight="1" x14ac:dyDescent="0.15">
      <c r="A25" s="76"/>
      <c r="B25" s="98"/>
      <c r="C25" s="99"/>
      <c r="D25" s="99"/>
      <c r="E25" s="99"/>
      <c r="F25" s="99"/>
      <c r="G25" s="99"/>
      <c r="H25" s="99"/>
      <c r="I25" s="99"/>
      <c r="J25" s="99"/>
      <c r="K25" s="99"/>
      <c r="L25" s="99"/>
      <c r="M25" s="99"/>
      <c r="N25" s="99"/>
      <c r="O25" s="99"/>
    </row>
    <row r="26" spans="1:15" s="43" customFormat="1" ht="10.5" customHeight="1" x14ac:dyDescent="0.15">
      <c r="A26" s="76"/>
      <c r="B26" s="85"/>
      <c r="C26" s="87"/>
      <c r="D26" s="87"/>
      <c r="E26" s="87"/>
      <c r="F26" s="87"/>
      <c r="G26" s="87"/>
      <c r="H26" s="87"/>
      <c r="I26" s="87"/>
      <c r="J26" s="87"/>
      <c r="K26" s="87"/>
      <c r="L26" s="87"/>
      <c r="M26" s="87"/>
      <c r="N26" s="87"/>
      <c r="O26" s="87"/>
    </row>
    <row r="27" spans="1:15" s="43" customFormat="1" ht="10.5" customHeight="1" x14ac:dyDescent="0.15">
      <c r="A27" s="76"/>
      <c r="B27" s="75"/>
      <c r="C27" s="75"/>
      <c r="D27" s="75"/>
      <c r="E27" s="75"/>
      <c r="F27" s="75"/>
      <c r="G27" s="75"/>
      <c r="H27" s="75"/>
      <c r="I27" s="75"/>
      <c r="J27" s="75"/>
      <c r="K27" s="55"/>
      <c r="L27" s="55"/>
      <c r="M27" s="55"/>
      <c r="N27" s="55"/>
      <c r="O27" s="55"/>
    </row>
    <row r="28" spans="1:15" s="43" customFormat="1" ht="10.5" customHeight="1" x14ac:dyDescent="0.15">
      <c r="A28" s="76"/>
      <c r="B28" s="75"/>
      <c r="C28" s="75"/>
      <c r="D28" s="75"/>
      <c r="E28" s="75"/>
      <c r="F28" s="75"/>
      <c r="G28" s="75"/>
      <c r="H28" s="75"/>
      <c r="I28" s="75"/>
      <c r="J28" s="75"/>
      <c r="K28" s="55"/>
      <c r="L28" s="55"/>
      <c r="M28" s="55"/>
      <c r="N28" s="55"/>
      <c r="O28" s="55"/>
    </row>
    <row r="29" spans="1:15" s="43" customFormat="1" ht="10.5" x14ac:dyDescent="0.15">
      <c r="A29" s="76"/>
      <c r="B29" s="55"/>
      <c r="C29" s="55"/>
      <c r="D29" s="55"/>
      <c r="E29" s="55"/>
      <c r="F29" s="55"/>
      <c r="G29" s="55"/>
      <c r="H29" s="55"/>
      <c r="I29" s="55"/>
      <c r="J29" s="55"/>
      <c r="K29" s="55"/>
      <c r="L29" s="55"/>
      <c r="M29" s="55"/>
      <c r="N29" s="55"/>
      <c r="O29" s="55"/>
    </row>
    <row r="30" spans="1:15" s="43" customFormat="1" x14ac:dyDescent="0.25">
      <c r="A30" s="76"/>
      <c r="B30" s="55"/>
      <c r="C30" s="55"/>
      <c r="D30" s="55"/>
      <c r="E30" s="55"/>
      <c r="F30" s="55"/>
      <c r="G30" s="55"/>
      <c r="H30" s="55"/>
      <c r="I30" s="55"/>
      <c r="J30" s="55"/>
      <c r="K30" s="56"/>
      <c r="L30" s="55"/>
      <c r="M30" s="86"/>
      <c r="N30" s="55"/>
      <c r="O30" s="55"/>
    </row>
    <row r="31" spans="1:15" s="43" customFormat="1" ht="10.5" x14ac:dyDescent="0.15">
      <c r="A31" s="76"/>
      <c r="B31" s="55"/>
      <c r="C31" s="55"/>
      <c r="D31" s="55"/>
      <c r="E31" s="55"/>
      <c r="F31" s="55"/>
      <c r="G31" s="55"/>
      <c r="H31" s="55"/>
      <c r="I31" s="55"/>
      <c r="J31" s="55"/>
      <c r="K31" s="55"/>
      <c r="L31" s="55"/>
      <c r="M31" s="86"/>
      <c r="N31" s="55"/>
      <c r="O31" s="55"/>
    </row>
    <row r="32" spans="1:15" s="43" customFormat="1" ht="3.75" customHeight="1" x14ac:dyDescent="0.15">
      <c r="A32" s="76"/>
      <c r="B32" s="55"/>
      <c r="C32" s="55"/>
      <c r="D32" s="55"/>
      <c r="E32" s="55"/>
      <c r="F32" s="55"/>
      <c r="G32" s="55"/>
      <c r="H32" s="55"/>
      <c r="I32" s="55"/>
      <c r="J32" s="55"/>
      <c r="K32" s="55"/>
      <c r="L32" s="55"/>
      <c r="M32" s="86"/>
      <c r="N32" s="55"/>
      <c r="O32" s="55"/>
    </row>
    <row r="33" spans="1:15" ht="15" customHeight="1" x14ac:dyDescent="0.25">
      <c r="A33" s="76"/>
      <c r="B33" s="56"/>
      <c r="C33" s="56"/>
      <c r="D33" s="56"/>
      <c r="E33" s="56"/>
      <c r="F33" s="56"/>
      <c r="G33" s="56"/>
      <c r="H33" s="56"/>
      <c r="I33" s="56"/>
      <c r="J33" s="56"/>
      <c r="K33" s="56"/>
      <c r="L33" s="56"/>
      <c r="M33" s="56"/>
      <c r="N33" s="56"/>
      <c r="O33" s="56"/>
    </row>
    <row r="34" spans="1:15" ht="15" customHeight="1" x14ac:dyDescent="0.25">
      <c r="A34" s="76"/>
      <c r="B34" s="56"/>
      <c r="C34" s="56"/>
      <c r="D34" s="56"/>
      <c r="E34" s="56"/>
      <c r="F34" s="56"/>
      <c r="G34" s="56"/>
      <c r="H34" s="56"/>
      <c r="I34" s="56"/>
      <c r="J34" s="56"/>
      <c r="K34" s="56"/>
      <c r="L34" s="56"/>
      <c r="M34" s="56"/>
      <c r="N34" s="56"/>
      <c r="O34" s="56"/>
    </row>
    <row r="35" spans="1:15" ht="15" customHeight="1" x14ac:dyDescent="0.25">
      <c r="A35" s="76"/>
      <c r="B35" s="56"/>
      <c r="C35" s="56"/>
      <c r="D35" s="56"/>
      <c r="E35" s="56"/>
      <c r="F35" s="56"/>
      <c r="G35" s="56"/>
      <c r="H35" s="56"/>
      <c r="I35" s="56"/>
      <c r="J35" s="56"/>
      <c r="K35" s="56"/>
      <c r="L35" s="56"/>
      <c r="M35" s="56"/>
      <c r="N35" s="56"/>
      <c r="O35" s="56"/>
    </row>
    <row r="36" spans="1:15" ht="15" customHeight="1" x14ac:dyDescent="0.25">
      <c r="A36" s="76"/>
      <c r="B36" s="56"/>
      <c r="C36" s="56"/>
      <c r="D36" s="56"/>
      <c r="E36" s="56"/>
      <c r="F36" s="56"/>
      <c r="G36" s="56"/>
      <c r="H36" s="56"/>
      <c r="I36" s="56"/>
      <c r="J36" s="56"/>
      <c r="K36" s="56"/>
      <c r="L36" s="56"/>
      <c r="M36" s="56"/>
      <c r="N36" s="56"/>
      <c r="O36" s="56"/>
    </row>
    <row r="37" spans="1:15" ht="15" customHeight="1" x14ac:dyDescent="0.25">
      <c r="A37" s="76"/>
      <c r="B37" s="56"/>
      <c r="C37" s="56"/>
      <c r="D37" s="56"/>
      <c r="E37" s="56"/>
      <c r="F37" s="56"/>
      <c r="G37" s="56"/>
      <c r="H37" s="56"/>
      <c r="I37" s="56"/>
      <c r="J37" s="56"/>
      <c r="K37" s="56"/>
      <c r="L37" s="56"/>
      <c r="M37" s="56"/>
      <c r="N37" s="56"/>
      <c r="O37" s="56"/>
    </row>
  </sheetData>
  <sheetProtection password="C10D" sheet="1" objects="1" scenarios="1" selectLockedCells="1" selectUnlockedCells="1"/>
  <mergeCells count="1">
    <mergeCell ref="B4:O25"/>
  </mergeCells>
  <pageMargins left="0.511811024" right="0.511811024" top="0.78740157499999996" bottom="0.78740157499999996" header="0.31496062000000002" footer="0.31496062000000002"/>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dimension ref="A1:U67"/>
  <sheetViews>
    <sheetView showGridLines="0" showRowColHeaders="0" zoomScale="110" zoomScaleNormal="110" workbookViewId="0">
      <selection activeCell="G3" sqref="G3"/>
    </sheetView>
  </sheetViews>
  <sheetFormatPr defaultColWidth="0" defaultRowHeight="14.25" customHeight="1" zeroHeight="1" x14ac:dyDescent="0.25"/>
  <cols>
    <col min="1" max="1" width="0.42578125" style="1" customWidth="1"/>
    <col min="2" max="2" width="1.28515625" style="1" customWidth="1"/>
    <col min="3" max="3" width="16.7109375" style="1" customWidth="1"/>
    <col min="4" max="4" width="15" style="1" customWidth="1"/>
    <col min="5" max="5" width="15.85546875" style="1" customWidth="1"/>
    <col min="6" max="6" width="16.7109375" style="1" customWidth="1"/>
    <col min="7" max="7" width="15.28515625" style="1" customWidth="1"/>
    <col min="8" max="8" width="11.85546875" style="1" bestFit="1" customWidth="1"/>
    <col min="9" max="14" width="9.140625" style="1" customWidth="1"/>
    <col min="15" max="15" width="7.85546875" style="1" customWidth="1"/>
    <col min="16" max="16" width="9.140625" style="1" hidden="1" customWidth="1"/>
    <col min="17" max="17" width="15" style="1" hidden="1" customWidth="1"/>
    <col min="18" max="18" width="10.7109375" style="1" hidden="1" customWidth="1"/>
    <col min="19" max="19" width="9.85546875" style="1" hidden="1" customWidth="1"/>
    <col min="20" max="20" width="11.5703125" style="1" hidden="1" customWidth="1"/>
    <col min="21" max="21" width="15" style="1" hidden="1" customWidth="1"/>
    <col min="22" max="16384" width="9.140625" style="1" hidden="1"/>
  </cols>
  <sheetData>
    <row r="1" spans="1:15" ht="13.5" customHeight="1" x14ac:dyDescent="0.25">
      <c r="A1" s="14"/>
      <c r="B1" s="14"/>
      <c r="C1" s="14"/>
      <c r="D1" s="14"/>
      <c r="E1" s="14"/>
      <c r="F1" s="14"/>
      <c r="G1" s="14"/>
      <c r="H1" s="14"/>
      <c r="I1" s="14"/>
      <c r="J1" s="14"/>
      <c r="K1" s="14"/>
      <c r="L1" s="14"/>
      <c r="M1" s="14"/>
      <c r="N1" s="14"/>
      <c r="O1" s="14"/>
    </row>
    <row r="2" spans="1:15" ht="14.25" customHeight="1" x14ac:dyDescent="0.25">
      <c r="A2" s="14"/>
      <c r="B2" s="14"/>
      <c r="C2" s="39" t="s">
        <v>22</v>
      </c>
      <c r="D2" s="92">
        <v>3</v>
      </c>
      <c r="E2" s="14"/>
      <c r="F2" s="14"/>
      <c r="G2" s="14"/>
      <c r="H2" s="110" t="str">
        <f>IF(ISERROR(IF(C33&gt;78000000,"Devido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permitidos",""))))&amp;" "&amp;"e considerando as projeções, a melhor opção tributária é: "&amp;(IF(ISERROR(L35),"",L35)))))))))</f>
        <v/>
      </c>
      <c r="I2" s="110"/>
      <c r="J2" s="110"/>
      <c r="K2" s="110"/>
      <c r="L2" s="110"/>
      <c r="M2" s="110"/>
      <c r="N2" s="110"/>
      <c r="O2" s="110"/>
    </row>
    <row r="3" spans="1:15" ht="15.75" customHeight="1" x14ac:dyDescent="0.25">
      <c r="A3" s="14"/>
      <c r="B3" s="14"/>
      <c r="C3" s="39" t="s">
        <v>32</v>
      </c>
      <c r="D3" s="93">
        <v>0</v>
      </c>
      <c r="E3" s="104" t="str">
        <f>IF((OR((T(G3)&lt;&gt;""),G3&lt;0)),"Erro digitação","Faturamento médio mensal:")</f>
        <v>Faturamento médio mensal:</v>
      </c>
      <c r="F3" s="105"/>
      <c r="G3" s="79">
        <v>0</v>
      </c>
      <c r="H3" s="110"/>
      <c r="I3" s="110"/>
      <c r="J3" s="110"/>
      <c r="K3" s="110"/>
      <c r="L3" s="110"/>
      <c r="M3" s="110"/>
      <c r="N3" s="110"/>
      <c r="O3" s="110"/>
    </row>
    <row r="4" spans="1:15" ht="20.25" customHeight="1" x14ac:dyDescent="0.2">
      <c r="A4" s="14"/>
      <c r="B4" s="14"/>
      <c r="C4" s="16"/>
      <c r="D4" s="16"/>
      <c r="E4" s="106" t="str">
        <f>IF((OR((T(G4)&lt;&gt;""),G4&lt;0)),"Erro digitação","Despesa mensal com folha:")</f>
        <v>Despesa mensal com folha:</v>
      </c>
      <c r="F4" s="107"/>
      <c r="G4" s="80">
        <v>0</v>
      </c>
      <c r="H4" s="14"/>
      <c r="I4" s="14"/>
      <c r="J4" s="14"/>
      <c r="K4" s="45"/>
      <c r="L4" s="100" t="str">
        <f>IF(G3*12&gt;48000000,"",(IF(L35="Lucro Real","",L35)))</f>
        <v/>
      </c>
      <c r="M4" s="101"/>
      <c r="N4" s="101"/>
      <c r="O4" s="15"/>
    </row>
    <row r="5" spans="1:15" ht="17.25" customHeight="1" x14ac:dyDescent="0.25">
      <c r="A5" s="14"/>
      <c r="B5" s="14"/>
      <c r="C5" s="16"/>
      <c r="D5" s="16"/>
      <c r="E5" s="108" t="str">
        <f>IF((OR((T(G5)&lt;&gt;""),G5&lt;0)),"Erro digitação","Demais despesas mensais:")</f>
        <v>Demais despesas mensais:</v>
      </c>
      <c r="F5" s="109"/>
      <c r="G5" s="79">
        <v>0</v>
      </c>
      <c r="H5" s="14"/>
      <c r="I5" s="14"/>
      <c r="J5" s="14"/>
      <c r="K5" s="14"/>
      <c r="L5" s="14"/>
      <c r="M5" s="14"/>
      <c r="N5" s="14"/>
      <c r="O5" s="14"/>
    </row>
    <row r="6" spans="1:15" x14ac:dyDescent="0.25">
      <c r="A6" s="14"/>
      <c r="B6" s="14"/>
      <c r="C6" s="14"/>
      <c r="D6" s="14"/>
      <c r="E6" s="14"/>
      <c r="F6" s="18"/>
      <c r="G6" s="19"/>
      <c r="H6" s="14"/>
      <c r="I6" s="14"/>
      <c r="J6" s="14"/>
      <c r="K6" s="14"/>
      <c r="L6" s="14"/>
      <c r="M6" s="14"/>
      <c r="N6" s="14"/>
      <c r="O6" s="14"/>
    </row>
    <row r="7" spans="1:15" ht="15" thickBot="1" x14ac:dyDescent="0.3">
      <c r="A7" s="14"/>
      <c r="B7" s="14"/>
      <c r="C7" s="69" t="s">
        <v>21</v>
      </c>
      <c r="D7" s="20" t="s">
        <v>16</v>
      </c>
      <c r="E7" s="21" t="s">
        <v>17</v>
      </c>
      <c r="F7" s="21" t="s">
        <v>18</v>
      </c>
      <c r="G7" s="18"/>
      <c r="H7" s="14"/>
      <c r="I7" s="14"/>
      <c r="J7" s="14"/>
      <c r="K7" s="14"/>
      <c r="L7" s="14"/>
      <c r="M7" s="14"/>
      <c r="N7" s="14"/>
      <c r="O7" s="14"/>
    </row>
    <row r="8" spans="1:15" x14ac:dyDescent="0.25">
      <c r="A8" s="14"/>
      <c r="B8" s="14"/>
      <c r="C8" s="22" t="s">
        <v>4</v>
      </c>
      <c r="D8" s="23">
        <f>D2*D3</f>
        <v>0</v>
      </c>
      <c r="E8" s="24">
        <f>IF(G3&gt;78000000/12,0,D2*D3)</f>
        <v>0</v>
      </c>
      <c r="F8" s="27">
        <f>IF(G3&gt;3600000/12,0,VLOOKUP(G3*12,'Tabela S'!A6:I25,4,TRUE)*G3)</f>
        <v>0</v>
      </c>
      <c r="G8" s="18"/>
      <c r="H8" s="14"/>
      <c r="I8" s="14"/>
      <c r="J8" s="14"/>
      <c r="K8" s="14"/>
      <c r="L8" s="14"/>
      <c r="M8" s="14"/>
      <c r="N8" s="14"/>
      <c r="O8" s="14"/>
    </row>
    <row r="9" spans="1:15" x14ac:dyDescent="0.25">
      <c r="A9" s="14"/>
      <c r="B9" s="14"/>
      <c r="C9" s="25" t="s">
        <v>5</v>
      </c>
      <c r="D9" s="26">
        <f>G3*1.65%</f>
        <v>0</v>
      </c>
      <c r="E9" s="27">
        <f>IF(G3&gt;78000000/12,0,G3*0.65%)</f>
        <v>0</v>
      </c>
      <c r="F9" s="27">
        <f>IF(G3&gt;3600000/12,0,VLOOKUP(G3*12,'Tabela S'!A6:I25,5,TRUE)*G3)</f>
        <v>0</v>
      </c>
      <c r="G9" s="18"/>
      <c r="H9" s="14"/>
      <c r="I9" s="14"/>
      <c r="J9" s="14"/>
      <c r="K9" s="14"/>
      <c r="L9" s="14"/>
      <c r="M9" s="14"/>
      <c r="N9" s="14"/>
      <c r="O9" s="14"/>
    </row>
    <row r="10" spans="1:15" x14ac:dyDescent="0.25">
      <c r="A10" s="14"/>
      <c r="B10" s="14"/>
      <c r="C10" s="25" t="s">
        <v>6</v>
      </c>
      <c r="D10" s="26">
        <f>G3*7.6%</f>
        <v>0</v>
      </c>
      <c r="E10" s="27">
        <f>IF(G3&gt;78000000/12,0,G3*3%)</f>
        <v>0</v>
      </c>
      <c r="F10" s="27">
        <f>IF(G3&gt;3600000/12,0,VLOOKUP(G3*12,'Tabela S'!A6:I25,6,TRUE)*G3)</f>
        <v>0</v>
      </c>
      <c r="G10" s="18"/>
      <c r="H10" s="14"/>
      <c r="I10" s="14"/>
      <c r="J10" s="14"/>
      <c r="K10" s="14"/>
      <c r="L10" s="14"/>
      <c r="M10" s="14"/>
      <c r="N10" s="14"/>
      <c r="O10" s="14"/>
    </row>
    <row r="11" spans="1:15" x14ac:dyDescent="0.25">
      <c r="A11" s="14"/>
      <c r="B11" s="14"/>
      <c r="C11" s="25" t="s">
        <v>2</v>
      </c>
      <c r="D11" s="26">
        <f>(IF((G3-(SUM(D8:D10)+D14+G5+((G4*13.33*1.12)/12)))*9%&gt;0,(G3-(SUM(D8:D10)+D14+G5+((G4*13.33*1.12)/12)))*9%,0))</f>
        <v>0</v>
      </c>
      <c r="E11" s="27">
        <f>IF(G3&gt;78000000/12,0,G3*32%*9%)</f>
        <v>0</v>
      </c>
      <c r="F11" s="27">
        <f>IF(G3&gt;3600000/12,0,VLOOKUP(G3*12,'Tabela S'!A6:I25,7,TRUE)*G3)</f>
        <v>0</v>
      </c>
      <c r="G11" s="18"/>
      <c r="H11" s="14"/>
      <c r="I11" s="14"/>
      <c r="J11" s="14"/>
      <c r="K11" s="14"/>
      <c r="L11" s="14"/>
      <c r="M11" s="14"/>
      <c r="N11" s="14"/>
      <c r="O11" s="14"/>
    </row>
    <row r="12" spans="1:15" x14ac:dyDescent="0.25">
      <c r="A12" s="14"/>
      <c r="B12" s="14"/>
      <c r="C12" s="25" t="s">
        <v>1</v>
      </c>
      <c r="D12" s="26">
        <f>IF((G3-(SUM(D8:D10)+D14+G5+((G4*13.33*1.12)/12)))*15%&gt;0,(G3-(SUM(D8:D10)+D14+G5+((G4*13.33*1.12)/12)))*15%,0)</f>
        <v>0</v>
      </c>
      <c r="E12" s="27">
        <f>IF(G3&gt;78000000/12,0,(G3*32%*15%))</f>
        <v>0</v>
      </c>
      <c r="F12" s="27">
        <f>IF(G3&gt;3600000/12,0,VLOOKUP(G3*12,'Tabela S'!A6:I25,8,TRUE)*G3)</f>
        <v>0</v>
      </c>
      <c r="G12" s="18"/>
      <c r="H12" s="14"/>
      <c r="I12" s="17"/>
      <c r="J12" s="17"/>
      <c r="K12" s="17"/>
      <c r="L12" s="17"/>
      <c r="M12" s="17"/>
      <c r="N12" s="17"/>
      <c r="O12" s="14"/>
    </row>
    <row r="13" spans="1:15" x14ac:dyDescent="0.25">
      <c r="A13" s="14"/>
      <c r="B13" s="14"/>
      <c r="C13" s="28" t="s">
        <v>23</v>
      </c>
      <c r="D13" s="29">
        <f>IF((G3-(SUM(D8:D10)+D14+G5+((G4*13.33*1.12)/12))-20000)*0.1&gt;0,(G3-(SUM(D8:D10)+D14+G5+((G4*13.33*1.12)/12))-20000)*0.1,0)</f>
        <v>0</v>
      </c>
      <c r="E13" s="30">
        <f>IF(G3&gt;78000000/12,0,(IF(G3*12&gt;187500*4,(0.1*(((G3*12*32%)-187500*4*32%)/12)),0)))</f>
        <v>0</v>
      </c>
      <c r="F13" s="30">
        <v>0</v>
      </c>
      <c r="G13" s="18"/>
      <c r="H13" s="14"/>
      <c r="I13" s="17"/>
      <c r="J13" s="17"/>
      <c r="K13" s="17"/>
      <c r="L13" s="17"/>
      <c r="M13" s="17"/>
      <c r="N13" s="17"/>
      <c r="O13" s="14"/>
    </row>
    <row r="14" spans="1:15" ht="15" thickBot="1" x14ac:dyDescent="0.3">
      <c r="A14" s="14"/>
      <c r="B14" s="14"/>
      <c r="C14" s="28" t="s">
        <v>7</v>
      </c>
      <c r="D14" s="29">
        <f>G4*26.8%</f>
        <v>0</v>
      </c>
      <c r="E14" s="30">
        <f>IF(G3&gt;78000000/12,0,G4*26.8%)</f>
        <v>0</v>
      </c>
      <c r="F14" s="70">
        <f>IF(G3&gt;=300000,0,G4*26.8%)</f>
        <v>0</v>
      </c>
      <c r="G14" s="18"/>
      <c r="H14" s="14"/>
      <c r="I14" s="14"/>
      <c r="J14" s="14"/>
      <c r="K14" s="14"/>
      <c r="L14" s="14"/>
      <c r="M14" s="14"/>
      <c r="N14" s="14"/>
      <c r="O14" s="14"/>
    </row>
    <row r="15" spans="1:15" x14ac:dyDescent="0.25">
      <c r="A15" s="14"/>
      <c r="B15" s="14"/>
      <c r="C15" s="31" t="s">
        <v>15</v>
      </c>
      <c r="D15" s="32">
        <f>SUM(D8:D14)</f>
        <v>0</v>
      </c>
      <c r="E15" s="33">
        <f>SUM(E8:E14)</f>
        <v>0</v>
      </c>
      <c r="F15" s="33">
        <f>SUM(F8:F14)</f>
        <v>0</v>
      </c>
      <c r="G15" s="18"/>
      <c r="H15" s="14"/>
      <c r="I15" s="14"/>
      <c r="J15" s="14"/>
      <c r="K15" s="14"/>
      <c r="L15" s="14"/>
      <c r="M15" s="14"/>
      <c r="N15" s="14"/>
      <c r="O15" s="14"/>
    </row>
    <row r="16" spans="1:15" x14ac:dyDescent="0.2">
      <c r="A16" s="14"/>
      <c r="B16" s="14"/>
      <c r="C16" s="34"/>
      <c r="D16" s="35" t="str">
        <f>IF(ISERROR(D15/Soc!$G$3),"",(D15/Soc!$G$3))</f>
        <v/>
      </c>
      <c r="E16" s="35" t="str">
        <f>IF(ISERROR(E15/Soc!$G$3),"",(E15/Soc!$G$3))</f>
        <v/>
      </c>
      <c r="F16" s="35" t="str">
        <f>IF(ISERROR(F15/Soc!$G$3),"",(F15/Soc!$G$3))</f>
        <v/>
      </c>
      <c r="G16" s="14"/>
      <c r="H16" s="14"/>
      <c r="I16" s="14"/>
      <c r="J16" s="14"/>
      <c r="K16" s="14"/>
      <c r="L16" s="14"/>
      <c r="M16" s="14"/>
      <c r="N16" s="14"/>
      <c r="O16" s="14"/>
    </row>
    <row r="17" spans="1:15" x14ac:dyDescent="0.25">
      <c r="A17" s="14"/>
      <c r="B17" s="14"/>
      <c r="C17" s="34"/>
      <c r="D17" s="34"/>
      <c r="E17" s="34"/>
      <c r="F17" s="34"/>
      <c r="G17" s="34"/>
      <c r="H17" s="14"/>
      <c r="I17" s="14"/>
      <c r="J17" s="14"/>
      <c r="K17" s="14"/>
      <c r="L17" s="14"/>
      <c r="M17" s="14"/>
      <c r="N17" s="14"/>
      <c r="O17" s="14"/>
    </row>
    <row r="18" spans="1:15" x14ac:dyDescent="0.25">
      <c r="A18" s="14"/>
      <c r="B18" s="14"/>
      <c r="C18" s="34"/>
      <c r="D18" s="34"/>
      <c r="E18" s="34"/>
      <c r="F18" s="34"/>
      <c r="G18" s="34"/>
      <c r="H18" s="14"/>
      <c r="I18" s="14"/>
      <c r="J18" s="14"/>
      <c r="K18" s="14"/>
      <c r="L18" s="14"/>
      <c r="M18" s="14"/>
      <c r="N18" s="14"/>
      <c r="O18" s="14"/>
    </row>
    <row r="19" spans="1:15" ht="19.5" customHeight="1" x14ac:dyDescent="0.25">
      <c r="A19" s="14"/>
      <c r="B19" s="14"/>
      <c r="C19" s="34"/>
      <c r="D19" s="34"/>
      <c r="E19" s="34"/>
      <c r="F19" s="34"/>
      <c r="G19" s="34"/>
      <c r="H19" s="14"/>
      <c r="I19" s="14"/>
      <c r="J19" s="14"/>
      <c r="K19" s="14"/>
      <c r="L19" s="14"/>
      <c r="M19" s="14"/>
      <c r="N19" s="14"/>
      <c r="O19" s="14"/>
    </row>
    <row r="20" spans="1:15" x14ac:dyDescent="0.25">
      <c r="A20" s="14"/>
      <c r="B20" s="14"/>
      <c r="C20" s="34"/>
      <c r="D20" s="34"/>
      <c r="E20" s="34"/>
      <c r="F20" s="34"/>
      <c r="G20" s="34"/>
      <c r="H20" s="14"/>
      <c r="I20" s="14"/>
      <c r="J20" s="14"/>
      <c r="K20" s="14"/>
      <c r="L20" s="14"/>
      <c r="M20" s="14"/>
      <c r="N20" s="14"/>
      <c r="O20" s="14"/>
    </row>
    <row r="21" spans="1:15" x14ac:dyDescent="0.25">
      <c r="A21" s="14"/>
      <c r="B21" s="14"/>
      <c r="C21" s="34"/>
      <c r="D21" s="34"/>
      <c r="E21" s="34"/>
      <c r="F21" s="34"/>
      <c r="G21" s="34"/>
      <c r="H21" s="14"/>
      <c r="I21" s="14"/>
      <c r="J21" s="14"/>
      <c r="K21" s="14"/>
      <c r="L21" s="14"/>
      <c r="M21" s="14"/>
      <c r="N21" s="14"/>
      <c r="O21" s="14"/>
    </row>
    <row r="22" spans="1:15" x14ac:dyDescent="0.25">
      <c r="A22" s="14"/>
      <c r="B22" s="14"/>
      <c r="C22" s="34"/>
      <c r="D22" s="34"/>
      <c r="E22" s="34"/>
      <c r="F22" s="34"/>
      <c r="G22" s="34"/>
      <c r="H22" s="14"/>
      <c r="I22" s="14"/>
      <c r="J22" s="14"/>
      <c r="K22" s="14"/>
      <c r="L22" s="14"/>
      <c r="M22" s="14"/>
      <c r="N22" s="14"/>
      <c r="O22" s="14"/>
    </row>
    <row r="23" spans="1:15" x14ac:dyDescent="0.25">
      <c r="A23" s="14"/>
      <c r="B23" s="14"/>
      <c r="C23" s="34"/>
      <c r="D23" s="34"/>
      <c r="E23" s="34"/>
      <c r="F23" s="34"/>
      <c r="G23" s="34"/>
      <c r="H23" s="14"/>
      <c r="I23" s="14"/>
      <c r="J23" s="14"/>
      <c r="K23" s="14"/>
      <c r="L23" s="14"/>
      <c r="M23" s="14"/>
      <c r="N23" s="14"/>
      <c r="O23" s="14"/>
    </row>
    <row r="24" spans="1:15" x14ac:dyDescent="0.25">
      <c r="A24" s="14"/>
      <c r="B24" s="14"/>
      <c r="C24" s="34"/>
      <c r="D24" s="34"/>
      <c r="E24" s="34"/>
      <c r="F24" s="34"/>
      <c r="G24" s="34"/>
      <c r="H24" s="14"/>
      <c r="I24" s="36"/>
      <c r="J24" s="14"/>
      <c r="K24" s="14"/>
      <c r="L24" s="14"/>
      <c r="M24" s="14"/>
      <c r="N24" s="14"/>
      <c r="O24" s="14"/>
    </row>
    <row r="25" spans="1:15" x14ac:dyDescent="0.25">
      <c r="A25" s="14"/>
      <c r="B25" s="14"/>
      <c r="C25" s="34"/>
      <c r="D25" s="34"/>
      <c r="E25" s="34"/>
      <c r="F25" s="34"/>
      <c r="G25" s="34"/>
      <c r="H25" s="14"/>
      <c r="I25" s="14"/>
      <c r="J25" s="14"/>
      <c r="K25" s="14"/>
      <c r="L25" s="14"/>
      <c r="M25" s="14"/>
      <c r="N25" s="14"/>
      <c r="O25" s="14"/>
    </row>
    <row r="26" spans="1:15" ht="14.25" customHeight="1" x14ac:dyDescent="0.25">
      <c r="A26" s="14"/>
      <c r="B26" s="14"/>
      <c r="C26" s="14"/>
      <c r="D26" s="14"/>
      <c r="E26" s="14"/>
      <c r="F26" s="14"/>
      <c r="G26" s="14"/>
      <c r="H26" s="14"/>
      <c r="I26" s="14"/>
      <c r="J26" s="14"/>
      <c r="K26" s="14"/>
      <c r="L26" s="14"/>
      <c r="M26" s="14"/>
      <c r="N26" s="14"/>
      <c r="O26" s="14"/>
    </row>
    <row r="27" spans="1:15" ht="11.25" customHeight="1" x14ac:dyDescent="0.25">
      <c r="A27" s="14"/>
      <c r="B27" s="14"/>
      <c r="C27" s="14"/>
      <c r="D27" s="14"/>
      <c r="E27" s="14"/>
      <c r="F27" s="14"/>
      <c r="G27" s="102" t="s">
        <v>24</v>
      </c>
      <c r="H27" s="102"/>
      <c r="I27" s="14"/>
      <c r="J27" s="14"/>
      <c r="K27" s="14"/>
      <c r="L27" s="14"/>
      <c r="M27" s="14"/>
      <c r="N27" s="14"/>
      <c r="O27" s="14"/>
    </row>
    <row r="28" spans="1:15" ht="11.25" customHeight="1" x14ac:dyDescent="0.25">
      <c r="A28" s="14"/>
      <c r="B28" s="14"/>
      <c r="C28" s="14"/>
      <c r="D28" s="14"/>
      <c r="E28" s="14"/>
      <c r="F28" s="14"/>
      <c r="G28" s="103" t="s">
        <v>29</v>
      </c>
      <c r="H28" s="103"/>
      <c r="I28" s="14"/>
      <c r="J28" s="14"/>
      <c r="K28" s="14"/>
      <c r="L28" s="14"/>
      <c r="M28" s="14"/>
      <c r="N28" s="14"/>
      <c r="O28" s="14"/>
    </row>
    <row r="29" spans="1:15" ht="14.25" hidden="1" customHeight="1" x14ac:dyDescent="0.25">
      <c r="E29" s="1">
        <f>MAX(F29:H29)</f>
        <v>0</v>
      </c>
      <c r="F29" s="1" t="str">
        <f>IF(F31="a","a",(IF($F$30=F31,1,"b")))</f>
        <v>a</v>
      </c>
      <c r="G29" s="1" t="str">
        <f>IF(G31="a","a",(IF($F$30=G31,2,"b")))</f>
        <v>a</v>
      </c>
      <c r="H29" s="1" t="str">
        <f>IF(H31="a","a",(IF($F$30=H31,3,"b")))</f>
        <v>a</v>
      </c>
    </row>
    <row r="30" spans="1:15" ht="14.25" hidden="1" customHeight="1" x14ac:dyDescent="0.25">
      <c r="D30" s="71">
        <f>IF(G3*12&gt;187500*4,0.1*((G3*12*32%)-187500*4*32%),0)</f>
        <v>0</v>
      </c>
      <c r="F30" s="1">
        <f>MIN(F31:H31)</f>
        <v>0</v>
      </c>
    </row>
    <row r="31" spans="1:15" ht="14.25" hidden="1" customHeight="1" x14ac:dyDescent="0.25">
      <c r="D31" s="71">
        <f>G3*12*32%</f>
        <v>0</v>
      </c>
      <c r="E31" s="1">
        <f>20000*4</f>
        <v>80000</v>
      </c>
      <c r="F31" s="1" t="str">
        <f t="shared" ref="F31:G31" si="0">IF(F32="","a",F35)</f>
        <v>a</v>
      </c>
      <c r="G31" s="1" t="str">
        <f t="shared" si="0"/>
        <v>a</v>
      </c>
      <c r="H31" s="1" t="str">
        <f>IF(H32="","a",H35)</f>
        <v>a</v>
      </c>
      <c r="J31" s="1">
        <v>1</v>
      </c>
      <c r="K31" s="1" t="str">
        <f>F32</f>
        <v/>
      </c>
      <c r="L31" s="1">
        <f>IF(K31="",0,1)</f>
        <v>0</v>
      </c>
      <c r="N31" s="1">
        <v>1</v>
      </c>
    </row>
    <row r="32" spans="1:15" ht="14.25" hidden="1" customHeight="1" x14ac:dyDescent="0.25">
      <c r="C32" s="63"/>
      <c r="D32" s="72">
        <f>((D31-E31)*0.1)/3</f>
        <v>-2666.6666666666665</v>
      </c>
      <c r="E32" s="63"/>
      <c r="F32" s="64" t="str">
        <f>IF(F33=1,(IF(F35=E36,"Lucro Real",IF(F35=E37,"Lucro Presumido",IF(F35=E38,"Simples Nacional","")))),"")</f>
        <v/>
      </c>
      <c r="G32" s="64" t="str">
        <f>IF(G33=1,(IF(G35=E36,"Lucro Real",IF(G35=E37,"Lucro Presumido",""))),"")</f>
        <v/>
      </c>
      <c r="H32" s="64" t="str">
        <f>IF(H33=1,"Lucro Real","")</f>
        <v/>
      </c>
      <c r="I32" s="63"/>
      <c r="J32" s="1">
        <v>2</v>
      </c>
      <c r="K32" s="1" t="str">
        <f>G32</f>
        <v/>
      </c>
      <c r="L32" s="1">
        <f t="shared" ref="L32:L33" si="1">IF(K32="",0,1)</f>
        <v>0</v>
      </c>
      <c r="N32" s="1">
        <v>2</v>
      </c>
    </row>
    <row r="33" spans="3:14" ht="14.25" hidden="1" customHeight="1" x14ac:dyDescent="0.25">
      <c r="C33" s="65">
        <f>G3*12</f>
        <v>0</v>
      </c>
      <c r="D33" s="65"/>
      <c r="E33" s="63"/>
      <c r="F33" s="66" t="str">
        <f>IF(C33&lt;=0,"",(IF(C33&lt;3600000,1,0)))</f>
        <v/>
      </c>
      <c r="G33" s="66" t="str">
        <f>IF(C33&lt;=0,"",(IF((OR(C33&gt;3600000,C33&lt;48000000)),1,0)))</f>
        <v/>
      </c>
      <c r="H33" s="66" t="str">
        <f>IF(C33&lt;=0,"",(IF(C33&gt;48000000,1,0)))</f>
        <v/>
      </c>
      <c r="I33" s="63"/>
      <c r="J33" s="1">
        <v>3</v>
      </c>
      <c r="K33" s="1" t="str">
        <f>H32</f>
        <v/>
      </c>
      <c r="L33" s="1">
        <f t="shared" si="1"/>
        <v>0</v>
      </c>
      <c r="N33" s="1">
        <v>3</v>
      </c>
    </row>
    <row r="34" spans="3:14" ht="14.25" hidden="1" customHeight="1" x14ac:dyDescent="0.25">
      <c r="C34" s="63"/>
      <c r="D34" s="63"/>
      <c r="E34" s="63"/>
      <c r="F34" s="64" t="s">
        <v>11</v>
      </c>
      <c r="G34" s="64" t="s">
        <v>12</v>
      </c>
      <c r="H34" s="64" t="s">
        <v>10</v>
      </c>
      <c r="I34" s="63"/>
    </row>
    <row r="35" spans="3:14" ht="14.25" hidden="1" customHeight="1" x14ac:dyDescent="0.25">
      <c r="C35" s="63"/>
      <c r="D35" s="63"/>
      <c r="E35" s="63"/>
      <c r="F35" s="38">
        <f>(MIN(E36:E38))</f>
        <v>0</v>
      </c>
      <c r="G35" s="38">
        <f>MIN(E36:E37)</f>
        <v>0</v>
      </c>
      <c r="H35" s="38">
        <f>MIN(E36)</f>
        <v>0</v>
      </c>
      <c r="I35" s="63"/>
      <c r="L35" s="62" t="str">
        <f>(IF($E$29=N31,K31,(IF($E$29=N32,K32,(IF($E$29=N33,K33,""))))))</f>
        <v/>
      </c>
    </row>
    <row r="36" spans="3:14" ht="14.25" hidden="1" customHeight="1" x14ac:dyDescent="0.25">
      <c r="C36" s="63" t="str">
        <f>D7</f>
        <v>Lucro Real</v>
      </c>
      <c r="D36" s="63"/>
      <c r="E36" s="38">
        <f>D15</f>
        <v>0</v>
      </c>
      <c r="F36" s="63" t="str">
        <f>IF(F35=E36,$C$36,"")</f>
        <v>Lucro Real</v>
      </c>
      <c r="G36" s="63"/>
      <c r="H36" s="63"/>
      <c r="I36" s="63"/>
    </row>
    <row r="37" spans="3:14" ht="14.25" hidden="1" customHeight="1" x14ac:dyDescent="0.25">
      <c r="C37" s="63" t="str">
        <f>E7</f>
        <v>Lucro Presumido</v>
      </c>
      <c r="D37" s="63"/>
      <c r="E37" s="38">
        <f>E15</f>
        <v>0</v>
      </c>
      <c r="F37" s="63" t="str">
        <f>IF(F35=E37,$C$37,"")</f>
        <v>Lucro Presumido</v>
      </c>
      <c r="G37" s="63"/>
      <c r="H37" s="63"/>
      <c r="I37" s="63"/>
    </row>
    <row r="38" spans="3:14" ht="14.25" hidden="1" customHeight="1" x14ac:dyDescent="0.25">
      <c r="C38" s="63" t="str">
        <f>F7</f>
        <v>Simples Nacional</v>
      </c>
      <c r="D38" s="63"/>
      <c r="E38" s="38">
        <f>F15</f>
        <v>0</v>
      </c>
      <c r="F38" s="64" t="str">
        <f>IF(F35=E38,$C$38,"")</f>
        <v>Simples Nacional</v>
      </c>
      <c r="G38" s="64"/>
      <c r="H38" s="64"/>
      <c r="I38" s="63"/>
    </row>
    <row r="39" spans="3:14" ht="14.25" hidden="1" customHeight="1" x14ac:dyDescent="0.25"/>
    <row r="40" spans="3:14" ht="14.25" hidden="1" customHeight="1" x14ac:dyDescent="0.25">
      <c r="J40" s="44" t="str">
        <f>IF(C33&gt;=48000000,"Faturamento anual superior a R$ 48 milhões, regime permitido, Lucro Real",IF(AND(C33&gt;3600000,C33&lt;48000000),"Faturamento anual &gt; 3,6 milhões e &lt; 48 milhões. Regimes Permitidos, Presumido e Real",IF(C33&lt;3600000,"Faturamento anual &lt; 3,60 milhões, os três regimes tributários permitidos","")))</f>
        <v>Faturamento anual &lt; 3,60 milhões, os três regimes tributários permitidos</v>
      </c>
    </row>
    <row r="41" spans="3:14" ht="14.25" hidden="1" customHeight="1" x14ac:dyDescent="0.25"/>
    <row r="42" spans="3:14" ht="14.25" hidden="1" customHeight="1" x14ac:dyDescent="0.25">
      <c r="C42" s="40">
        <v>0</v>
      </c>
      <c r="D42" s="40"/>
      <c r="E42" s="41">
        <v>1</v>
      </c>
      <c r="F42" s="41">
        <v>1</v>
      </c>
      <c r="I42" s="38">
        <f>MAX(J43:J45)</f>
        <v>0</v>
      </c>
      <c r="J42" s="38">
        <f>MIN(J43:J45)</f>
        <v>0</v>
      </c>
      <c r="K42" s="38">
        <f>I42-J42</f>
        <v>0</v>
      </c>
    </row>
    <row r="43" spans="3:14" ht="14.25" hidden="1" customHeight="1" x14ac:dyDescent="0.25">
      <c r="C43" s="40">
        <v>0.01</v>
      </c>
      <c r="D43" s="40"/>
      <c r="E43" s="41">
        <v>2</v>
      </c>
      <c r="F43" s="42">
        <f>LOOKUP(F42,E42:E47,C42:C47)</f>
        <v>0</v>
      </c>
      <c r="H43" s="68" t="str">
        <f>C36</f>
        <v>Lucro Real</v>
      </c>
      <c r="I43" s="38">
        <f t="shared" ref="I43:I44" si="2">E36</f>
        <v>0</v>
      </c>
      <c r="J43" s="38" t="str">
        <f t="shared" ref="J43:J44" si="3">IF(I43=0,"a",I43)</f>
        <v>a</v>
      </c>
      <c r="K43" s="38"/>
      <c r="L43" s="38"/>
      <c r="M43" s="38"/>
      <c r="N43" s="38"/>
    </row>
    <row r="44" spans="3:14" ht="14.25" hidden="1" customHeight="1" x14ac:dyDescent="0.25">
      <c r="C44" s="40">
        <v>0.02</v>
      </c>
      <c r="D44" s="40"/>
      <c r="E44" s="41">
        <v>3</v>
      </c>
      <c r="F44" s="67"/>
      <c r="H44" s="68" t="str">
        <f t="shared" ref="H44:H45" si="4">C37</f>
        <v>Lucro Presumido</v>
      </c>
      <c r="I44" s="38">
        <f t="shared" si="2"/>
        <v>0</v>
      </c>
      <c r="J44" s="38" t="str">
        <f t="shared" si="3"/>
        <v>a</v>
      </c>
      <c r="K44" s="38"/>
      <c r="L44" s="38"/>
      <c r="M44" s="38"/>
      <c r="N44" s="38"/>
    </row>
    <row r="45" spans="3:14" ht="14.25" hidden="1" customHeight="1" x14ac:dyDescent="0.25">
      <c r="C45" s="40">
        <v>0.03</v>
      </c>
      <c r="D45" s="40"/>
      <c r="E45" s="41">
        <v>4</v>
      </c>
      <c r="F45" s="67"/>
      <c r="H45" s="68" t="str">
        <f t="shared" si="4"/>
        <v>Simples Nacional</v>
      </c>
      <c r="I45" s="38">
        <f>E38</f>
        <v>0</v>
      </c>
      <c r="J45" s="38" t="str">
        <f>IF(I45=0,"a",I45)</f>
        <v>a</v>
      </c>
      <c r="K45" s="38"/>
      <c r="L45" s="38"/>
      <c r="M45" s="38"/>
      <c r="N45" s="38"/>
    </row>
    <row r="46" spans="3:14" ht="14.25" hidden="1" customHeight="1" x14ac:dyDescent="0.25">
      <c r="C46" s="40">
        <v>0.04</v>
      </c>
      <c r="D46" s="40"/>
      <c r="E46" s="41">
        <v>5</v>
      </c>
      <c r="F46" s="67"/>
    </row>
    <row r="47" spans="3:14" ht="14.25" hidden="1" customHeight="1" x14ac:dyDescent="0.25">
      <c r="C47" s="40">
        <v>0.05</v>
      </c>
      <c r="D47" s="40"/>
      <c r="E47" s="41">
        <v>6</v>
      </c>
      <c r="F47" s="67"/>
    </row>
    <row r="48" spans="3:14" ht="14.25" hidden="1" customHeight="1" x14ac:dyDescent="0.25">
      <c r="E48" s="1">
        <v>7</v>
      </c>
    </row>
    <row r="49" spans="5:12" ht="14.25" hidden="1" customHeight="1" x14ac:dyDescent="0.25">
      <c r="E49" s="1">
        <v>8</v>
      </c>
    </row>
    <row r="50" spans="5:12" ht="14.25" hidden="1" customHeight="1" x14ac:dyDescent="0.25">
      <c r="E50" s="1">
        <v>9</v>
      </c>
      <c r="J50" s="1">
        <v>1</v>
      </c>
      <c r="K50" s="1">
        <v>5</v>
      </c>
      <c r="L50" s="1">
        <v>120</v>
      </c>
    </row>
    <row r="51" spans="5:12" ht="14.25" hidden="1" customHeight="1" x14ac:dyDescent="0.25">
      <c r="E51" s="1">
        <v>10</v>
      </c>
      <c r="J51" s="1">
        <v>6</v>
      </c>
      <c r="K51" s="1">
        <v>10</v>
      </c>
      <c r="L51" s="1">
        <v>180</v>
      </c>
    </row>
    <row r="52" spans="5:12" ht="14.25" hidden="1" customHeight="1" x14ac:dyDescent="0.25">
      <c r="E52" s="1">
        <v>11</v>
      </c>
      <c r="J52" s="1">
        <v>11</v>
      </c>
      <c r="K52" s="1">
        <v>20</v>
      </c>
      <c r="L52" s="1">
        <v>240</v>
      </c>
    </row>
    <row r="53" spans="5:12" ht="14.25" hidden="1" customHeight="1" x14ac:dyDescent="0.25">
      <c r="E53" s="1">
        <v>12</v>
      </c>
      <c r="G53" s="1">
        <v>0</v>
      </c>
      <c r="J53" s="1">
        <v>21</v>
      </c>
      <c r="K53" s="1">
        <v>1000</v>
      </c>
      <c r="L53" s="1">
        <v>300</v>
      </c>
    </row>
    <row r="54" spans="5:12" ht="14.25" hidden="1" customHeight="1" x14ac:dyDescent="0.25">
      <c r="E54" s="1">
        <v>13</v>
      </c>
      <c r="G54" s="1">
        <v>360000</v>
      </c>
    </row>
    <row r="55" spans="5:12" ht="14.25" hidden="1" customHeight="1" x14ac:dyDescent="0.25">
      <c r="E55" s="1">
        <v>14</v>
      </c>
    </row>
    <row r="56" spans="5:12" ht="14.25" hidden="1" customHeight="1" x14ac:dyDescent="0.25">
      <c r="E56" s="1">
        <v>15</v>
      </c>
    </row>
    <row r="57" spans="5:12" ht="14.25" hidden="1" customHeight="1" x14ac:dyDescent="0.25">
      <c r="E57" s="1">
        <v>16</v>
      </c>
      <c r="G57" s="71">
        <f>G3-(SUM(D9:D10)+D14+G4+G5+((G4*13.33*1.12)/12))</f>
        <v>0</v>
      </c>
    </row>
    <row r="58" spans="5:12" ht="14.25" hidden="1" customHeight="1" x14ac:dyDescent="0.25">
      <c r="E58" s="1">
        <v>17</v>
      </c>
    </row>
    <row r="59" spans="5:12" ht="14.25" hidden="1" customHeight="1" x14ac:dyDescent="0.25">
      <c r="E59" s="1">
        <v>18</v>
      </c>
    </row>
    <row r="60" spans="5:12" ht="14.25" hidden="1" customHeight="1" x14ac:dyDescent="0.25">
      <c r="E60" s="1">
        <v>19</v>
      </c>
    </row>
    <row r="61" spans="5:12" ht="14.25" hidden="1" customHeight="1" x14ac:dyDescent="0.25">
      <c r="E61" s="1">
        <v>20</v>
      </c>
    </row>
    <row r="62" spans="5:12" ht="14.25" hidden="1" customHeight="1" x14ac:dyDescent="0.25">
      <c r="E62" s="1">
        <v>21</v>
      </c>
    </row>
    <row r="63" spans="5:12" ht="14.25" hidden="1" customHeight="1" x14ac:dyDescent="0.25"/>
    <row r="64" spans="5:12" ht="14.25" hidden="1" customHeight="1" x14ac:dyDescent="0.25"/>
    <row r="65" ht="14.25" hidden="1" customHeight="1" x14ac:dyDescent="0.25"/>
    <row r="66" ht="14.25" hidden="1" customHeight="1" x14ac:dyDescent="0.25"/>
    <row r="67" ht="14.25" hidden="1" customHeight="1" x14ac:dyDescent="0.25"/>
  </sheetData>
  <sheetProtection password="C10D" sheet="1" objects="1" scenarios="1" selectLockedCells="1"/>
  <mergeCells count="7">
    <mergeCell ref="L4:N4"/>
    <mergeCell ref="G27:H27"/>
    <mergeCell ref="G28:H28"/>
    <mergeCell ref="E3:F3"/>
    <mergeCell ref="E4:F4"/>
    <mergeCell ref="E5:F5"/>
    <mergeCell ref="H2:O3"/>
  </mergeCells>
  <conditionalFormatting sqref="C7:F15">
    <cfRule type="expression" dxfId="25" priority="9">
      <formula>SUM($G$3:$G$5)=0</formula>
    </cfRule>
  </conditionalFormatting>
  <conditionalFormatting sqref="E3:F3">
    <cfRule type="expression" dxfId="24" priority="7">
      <formula>$E$3="Erro digitação"</formula>
    </cfRule>
  </conditionalFormatting>
  <conditionalFormatting sqref="E4:F4">
    <cfRule type="expression" dxfId="23" priority="6">
      <formula>$E$4="Erro digitação"</formula>
    </cfRule>
  </conditionalFormatting>
  <conditionalFormatting sqref="E5:F5">
    <cfRule type="expression" dxfId="22" priority="5">
      <formula>$E$5="Erro digitação"</formula>
    </cfRule>
  </conditionalFormatting>
  <dataValidations count="1">
    <dataValidation type="list" allowBlank="1" showInputMessage="1" showErrorMessage="1" promptTitle="Número de Sócios:" prompt="Escolha a quantidade de sócios em sua sociedade para cálculo do ISSQN." sqref="D2">
      <formula1>$E$42:$E$62</formula1>
    </dataValidation>
  </dataValidations>
  <printOptions horizontalCentered="1" verticalCentered="1"/>
  <pageMargins left="0.39370078740157483" right="0.39370078740157483" top="0.78740157480314965" bottom="0.78740157480314965" header="0.31496062992125984" footer="0.31496062992125984"/>
  <pageSetup paperSize="9" scale="9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8"/>
  <dimension ref="A1:U67"/>
  <sheetViews>
    <sheetView showGridLines="0" showRowColHeaders="0" zoomScale="110" zoomScaleNormal="110" workbookViewId="0">
      <selection activeCell="G5" sqref="G5"/>
    </sheetView>
  </sheetViews>
  <sheetFormatPr defaultColWidth="0" defaultRowHeight="14.25" customHeight="1" zeroHeight="1" x14ac:dyDescent="0.25"/>
  <cols>
    <col min="1" max="1" width="0.42578125" style="1" customWidth="1"/>
    <col min="2" max="2" width="1.28515625" style="1" customWidth="1"/>
    <col min="3" max="3" width="16.7109375" style="1" customWidth="1"/>
    <col min="4" max="4" width="15" style="1" customWidth="1"/>
    <col min="5" max="5" width="15.85546875" style="1" customWidth="1"/>
    <col min="6" max="6" width="16.7109375" style="1" customWidth="1"/>
    <col min="7" max="7" width="15.28515625" style="1" customWidth="1"/>
    <col min="8" max="8" width="11.85546875" style="1" bestFit="1" customWidth="1"/>
    <col min="9" max="14" width="9.140625" style="1" customWidth="1"/>
    <col min="15" max="15" width="7.85546875" style="1" customWidth="1"/>
    <col min="16" max="16" width="9.140625" style="1" hidden="1" customWidth="1"/>
    <col min="17" max="17" width="15" style="1" hidden="1" customWidth="1"/>
    <col min="18" max="18" width="10.7109375" style="1" hidden="1" customWidth="1"/>
    <col min="19" max="19" width="9.85546875" style="1" hidden="1" customWidth="1"/>
    <col min="20" max="20" width="11.5703125" style="1" hidden="1" customWidth="1"/>
    <col min="21" max="21" width="15" style="1" hidden="1" customWidth="1"/>
    <col min="22" max="16384" width="9.140625" style="1" hidden="1"/>
  </cols>
  <sheetData>
    <row r="1" spans="1:15" ht="13.5" customHeight="1" x14ac:dyDescent="0.25">
      <c r="A1" s="14"/>
      <c r="B1" s="14"/>
      <c r="C1" s="14"/>
      <c r="D1" s="14"/>
      <c r="E1" s="14"/>
      <c r="F1" s="14"/>
      <c r="G1" s="14"/>
      <c r="H1" s="14"/>
      <c r="I1" s="14"/>
      <c r="J1" s="14"/>
      <c r="K1" s="14"/>
      <c r="L1" s="14"/>
      <c r="M1" s="14"/>
      <c r="N1" s="14"/>
      <c r="O1" s="14"/>
    </row>
    <row r="2" spans="1:15" ht="15" x14ac:dyDescent="0.25">
      <c r="A2" s="14"/>
      <c r="B2" s="14"/>
      <c r="C2" s="39" t="s">
        <v>27</v>
      </c>
      <c r="D2" s="83">
        <v>0.03</v>
      </c>
      <c r="E2" s="14"/>
      <c r="F2" s="14"/>
      <c r="G2" s="14"/>
      <c r="H2" s="110" t="str">
        <f>IF(ISERROR(IF(C33&gt;78000000,"Devido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 ",""))))&amp;" "&amp;"e considerando as projeções, a melhor opção tributária é: "&amp;(IF(ISERROR(L35),"",L35))))),"",(IF(G3+G4+G5=0,"",((IF(C33&gt;=78000000,"Faturamento anual superior a R$ 78 milhões, regime permitido: Lucro Real.",IF(AND(C33&gt;3600000,C33&lt;78000000),"Faturamento anual &gt; 3,6 milhões e &lt; 78 milhões. Regimes Permitidos são: Presumido e Real.",IF(C33&lt;3600000,"Faturamento anual &lt; 3,60 milhões, os três regimes tributários são permitidos ",""))))&amp;" "&amp;"e considerando as projeções, a melhor opção tributária é: "&amp;(IF(ISERROR(L35),"",L35)))))))),"",(IF(C33&gt;78000000,"Devido faturamento anual superior a 78 milhões, o único regime permitido é o Lucro Real",IF(ISERROR(IF(G3+G4+G5=0,"",((IF(C33&gt;=78000000,"Faturamento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 ",""))))&amp;" "&amp;"e considerando as projeções, a melhor opção tributária é: "&amp;(IF(ISERROR(L35),"",L35))))),"",(IF(G3+G4+G5=0,"",((IF(C33&gt;=78000000,"Faturamento anual superior a R$ 78 milhões, regime permitido: Lucro Real.",IF(AND(C33&gt;3600000,C33&lt;78000000),"Faturamento anual &gt; 3,6 milhões e &lt; 78 milhões. Os Regimes Permitidos são: Presumido e Real.",IF(C33&lt;3600000,"Faturamento anual &lt; 3,60 milhões, os três regimes tributários são permitidos ",""))))&amp;" "&amp;"e considerando as projeções, a melhor opção tributária é: "&amp;(IF(ISERROR(L35),"",L35)))))))))</f>
        <v/>
      </c>
      <c r="I2" s="110"/>
      <c r="J2" s="110"/>
      <c r="K2" s="110"/>
      <c r="L2" s="110"/>
      <c r="M2" s="110"/>
      <c r="N2" s="110"/>
      <c r="O2" s="110"/>
    </row>
    <row r="3" spans="1:15" ht="15.75" customHeight="1" x14ac:dyDescent="0.25">
      <c r="A3" s="14"/>
      <c r="B3" s="14"/>
      <c r="C3" s="39"/>
      <c r="D3" s="39"/>
      <c r="E3" s="104" t="str">
        <f>IF((OR((T(G3)&lt;&gt;""),G3&lt;0)),"Erro digitação","Faturamento médio mensal:")</f>
        <v>Faturamento médio mensal:</v>
      </c>
      <c r="F3" s="111"/>
      <c r="G3" s="81">
        <v>0</v>
      </c>
      <c r="H3" s="110"/>
      <c r="I3" s="110"/>
      <c r="J3" s="110"/>
      <c r="K3" s="110"/>
      <c r="L3" s="110"/>
      <c r="M3" s="110"/>
      <c r="N3" s="110"/>
      <c r="O3" s="110"/>
    </row>
    <row r="4" spans="1:15" ht="20.25" customHeight="1" x14ac:dyDescent="0.2">
      <c r="A4" s="14"/>
      <c r="B4" s="14"/>
      <c r="C4" s="16"/>
      <c r="D4" s="16"/>
      <c r="E4" s="106" t="str">
        <f>IF((OR((T(G4)&lt;&gt;""),G4&lt;0)),"Erro digitação","Despesa mensal com folha:")</f>
        <v>Despesa mensal com folha:</v>
      </c>
      <c r="F4" s="112"/>
      <c r="G4" s="80">
        <v>0</v>
      </c>
      <c r="H4" s="14"/>
      <c r="I4" s="14"/>
      <c r="J4" s="14"/>
      <c r="K4" s="45"/>
      <c r="L4" s="100" t="str">
        <f>IF(G3*12&gt;48000000,"",(IF(L35="Lucro Real","",L35)))</f>
        <v/>
      </c>
      <c r="M4" s="101"/>
      <c r="N4" s="101"/>
      <c r="O4" s="15"/>
    </row>
    <row r="5" spans="1:15" ht="17.25" customHeight="1" x14ac:dyDescent="0.25">
      <c r="A5" s="14"/>
      <c r="B5" s="14"/>
      <c r="C5" s="16"/>
      <c r="D5" s="16"/>
      <c r="E5" s="108" t="str">
        <f>IF((OR((T(G5)&lt;&gt;""),G5&lt;0)),"Erro digitação","Demais despesas mensais:")</f>
        <v>Demais despesas mensais:</v>
      </c>
      <c r="F5" s="113"/>
      <c r="G5" s="82">
        <v>0</v>
      </c>
      <c r="H5" s="14"/>
      <c r="I5" s="14"/>
      <c r="J5" s="14"/>
      <c r="K5" s="14"/>
      <c r="L5" s="14"/>
      <c r="M5" s="14"/>
      <c r="N5" s="14"/>
      <c r="O5" s="14"/>
    </row>
    <row r="6" spans="1:15" x14ac:dyDescent="0.25">
      <c r="A6" s="14"/>
      <c r="B6" s="14"/>
      <c r="C6" s="14"/>
      <c r="D6" s="14"/>
      <c r="E6" s="14"/>
      <c r="F6" s="18"/>
      <c r="G6" s="19"/>
      <c r="H6" s="14"/>
      <c r="I6" s="14"/>
      <c r="J6" s="14"/>
      <c r="K6" s="14"/>
      <c r="L6" s="14"/>
      <c r="M6" s="14"/>
      <c r="N6" s="14"/>
      <c r="O6" s="14"/>
    </row>
    <row r="7" spans="1:15" ht="15" thickBot="1" x14ac:dyDescent="0.3">
      <c r="A7" s="14"/>
      <c r="B7" s="14"/>
      <c r="C7" s="69" t="s">
        <v>21</v>
      </c>
      <c r="D7" s="20" t="s">
        <v>16</v>
      </c>
      <c r="E7" s="21" t="s">
        <v>17</v>
      </c>
      <c r="F7" s="21" t="s">
        <v>18</v>
      </c>
      <c r="G7" s="18"/>
      <c r="H7" s="14"/>
      <c r="I7" s="14"/>
      <c r="J7" s="14"/>
      <c r="K7" s="14"/>
      <c r="L7" s="14"/>
      <c r="M7" s="14"/>
      <c r="N7" s="14"/>
      <c r="O7" s="14"/>
    </row>
    <row r="8" spans="1:15" x14ac:dyDescent="0.25">
      <c r="A8" s="14"/>
      <c r="B8" s="14"/>
      <c r="C8" s="22" t="s">
        <v>4</v>
      </c>
      <c r="D8" s="23">
        <f>G3*D2</f>
        <v>0</v>
      </c>
      <c r="E8" s="24">
        <f>IF(G3&gt;78000000/12,0,G3*D2)</f>
        <v>0</v>
      </c>
      <c r="F8" s="27">
        <f>IF(G3&gt;3600000/12,0,VLOOKUP(G3*12,'Tabela S'!A6:I25,4,TRUE)*G3)</f>
        <v>0</v>
      </c>
      <c r="G8" s="18"/>
      <c r="H8" s="14"/>
      <c r="I8" s="14"/>
      <c r="J8" s="14"/>
      <c r="K8" s="14"/>
      <c r="L8" s="14"/>
      <c r="M8" s="14"/>
      <c r="N8" s="14"/>
      <c r="O8" s="14"/>
    </row>
    <row r="9" spans="1:15" x14ac:dyDescent="0.25">
      <c r="A9" s="14"/>
      <c r="B9" s="14"/>
      <c r="C9" s="25" t="s">
        <v>5</v>
      </c>
      <c r="D9" s="26">
        <f>G3*1.65%</f>
        <v>0</v>
      </c>
      <c r="E9" s="27">
        <f>IF(G3&gt;78000000/12,0,G3*0.65%)</f>
        <v>0</v>
      </c>
      <c r="F9" s="27">
        <f>IF(G3&gt;3600000/12,0,VLOOKUP(G3*12,'Tabela S'!A6:I25,5,TRUE)*G3)</f>
        <v>0</v>
      </c>
      <c r="G9" s="18"/>
      <c r="H9" s="14"/>
      <c r="I9" s="14"/>
      <c r="J9" s="14"/>
      <c r="K9" s="14"/>
      <c r="L9" s="14"/>
      <c r="M9" s="14"/>
      <c r="N9" s="14"/>
      <c r="O9" s="14"/>
    </row>
    <row r="10" spans="1:15" x14ac:dyDescent="0.25">
      <c r="A10" s="14"/>
      <c r="B10" s="14"/>
      <c r="C10" s="25" t="s">
        <v>6</v>
      </c>
      <c r="D10" s="26">
        <f>G3*7.6%</f>
        <v>0</v>
      </c>
      <c r="E10" s="27">
        <f>IF(G3&gt;78000000/12,0,G3*3%)</f>
        <v>0</v>
      </c>
      <c r="F10" s="27">
        <f>IF(G3&gt;3600000/12,0,VLOOKUP(G3*12,'Tabela S'!A6:I25,6,TRUE)*G3)</f>
        <v>0</v>
      </c>
      <c r="G10" s="18"/>
      <c r="H10" s="14"/>
      <c r="I10" s="14"/>
      <c r="J10" s="14"/>
      <c r="K10" s="14"/>
      <c r="L10" s="14"/>
      <c r="M10" s="14"/>
      <c r="N10" s="14"/>
      <c r="O10" s="14"/>
    </row>
    <row r="11" spans="1:15" x14ac:dyDescent="0.25">
      <c r="A11" s="14"/>
      <c r="B11" s="14"/>
      <c r="C11" s="25" t="s">
        <v>2</v>
      </c>
      <c r="D11" s="26">
        <f>(IF((G3-(SUM(D8:D10)+D14+G5+((G4*13.33*1.12)/12)))*9%&gt;0,(G3-(SUM(D8:D10)+D14+G5+((G4*13.33*1.12)/12)))*9%,0))</f>
        <v>0</v>
      </c>
      <c r="E11" s="27">
        <f>IF(G3&gt;78000000/12,0,G3*32%*9%)</f>
        <v>0</v>
      </c>
      <c r="F11" s="27">
        <f>IF(G3&gt;3600000/12,0,VLOOKUP(G3*12,'Tabela S'!A6:I25,7,TRUE)*G3)</f>
        <v>0</v>
      </c>
      <c r="G11" s="18"/>
      <c r="H11" s="14"/>
      <c r="I11" s="14"/>
      <c r="J11" s="14"/>
      <c r="K11" s="14"/>
      <c r="L11" s="14"/>
      <c r="M11" s="14"/>
      <c r="N11" s="14"/>
      <c r="O11" s="14"/>
    </row>
    <row r="12" spans="1:15" x14ac:dyDescent="0.25">
      <c r="A12" s="14"/>
      <c r="B12" s="14"/>
      <c r="C12" s="25" t="s">
        <v>1</v>
      </c>
      <c r="D12" s="26">
        <f>IF((G3-(SUM(D8:D10)+D14+G5+((G4*13.33*1.12)/12)))*15%&gt;0,(G3-(SUM(D8:D10)+D14+G5+((G4*13.33*1.12)/12)))*15%,0)</f>
        <v>0</v>
      </c>
      <c r="E12" s="27">
        <f>IF(G3&gt;78000000/12,0,(G3*32%*15%))</f>
        <v>0</v>
      </c>
      <c r="F12" s="27">
        <f>IF(G3&gt;3600000/12,0,VLOOKUP(G3*12,'Tabela S'!A6:I25,8,TRUE)*G3)</f>
        <v>0</v>
      </c>
      <c r="G12" s="18"/>
      <c r="H12" s="14"/>
      <c r="I12" s="17"/>
      <c r="J12" s="17"/>
      <c r="K12" s="17"/>
      <c r="L12" s="17"/>
      <c r="M12" s="17"/>
      <c r="N12" s="17"/>
      <c r="O12" s="14"/>
    </row>
    <row r="13" spans="1:15" x14ac:dyDescent="0.25">
      <c r="A13" s="14"/>
      <c r="B13" s="14"/>
      <c r="C13" s="28" t="s">
        <v>23</v>
      </c>
      <c r="D13" s="29">
        <f>IF((G3-(SUM(D8:D10)+D14+G5+((G4*13.33*1.12)/12))-20000)*0.1&gt;0,(G3-(SUM(D8:D10)+D14+G5+((G4*13.33*1.12)/12))-20000)*0.1,0)</f>
        <v>0</v>
      </c>
      <c r="E13" s="30">
        <f>IF(G3&gt;78000000/12,0,(IF(G3*12&gt;187500*4,(0.1*(((G3*12*32%)-187500*4*32%)/12)),0)))</f>
        <v>0</v>
      </c>
      <c r="F13" s="30">
        <v>0</v>
      </c>
      <c r="G13" s="18"/>
      <c r="H13" s="14"/>
      <c r="I13" s="17"/>
      <c r="J13" s="17"/>
      <c r="K13" s="17"/>
      <c r="L13" s="17"/>
      <c r="M13" s="17"/>
      <c r="N13" s="17"/>
      <c r="O13" s="14"/>
    </row>
    <row r="14" spans="1:15" ht="15" thickBot="1" x14ac:dyDescent="0.3">
      <c r="A14" s="14"/>
      <c r="B14" s="14"/>
      <c r="C14" s="28" t="s">
        <v>7</v>
      </c>
      <c r="D14" s="29">
        <f>G4*26.8%</f>
        <v>0</v>
      </c>
      <c r="E14" s="30">
        <f>IF(G3&gt;78000000/12,0,G4*26.8%)</f>
        <v>0</v>
      </c>
      <c r="F14" s="70">
        <f>IF(G3&gt;=300000,0,G4*26.8%)</f>
        <v>0</v>
      </c>
      <c r="G14" s="18"/>
      <c r="H14" s="14"/>
      <c r="I14" s="14"/>
      <c r="J14" s="14"/>
      <c r="K14" s="14"/>
      <c r="L14" s="14"/>
      <c r="M14" s="14"/>
      <c r="N14" s="14"/>
      <c r="O14" s="14"/>
    </row>
    <row r="15" spans="1:15" x14ac:dyDescent="0.25">
      <c r="A15" s="14"/>
      <c r="B15" s="14"/>
      <c r="C15" s="31" t="s">
        <v>15</v>
      </c>
      <c r="D15" s="32">
        <f>SUM(D8:D14)</f>
        <v>0</v>
      </c>
      <c r="E15" s="33">
        <f>SUM(E8:E14)</f>
        <v>0</v>
      </c>
      <c r="F15" s="33">
        <f>SUM(F8:F14)</f>
        <v>0</v>
      </c>
      <c r="G15" s="18"/>
      <c r="H15" s="14"/>
      <c r="I15" s="14"/>
      <c r="J15" s="14"/>
      <c r="K15" s="14"/>
      <c r="L15" s="14"/>
      <c r="M15" s="14"/>
      <c r="N15" s="14"/>
      <c r="O15" s="14"/>
    </row>
    <row r="16" spans="1:15" x14ac:dyDescent="0.2">
      <c r="A16" s="14"/>
      <c r="B16" s="14"/>
      <c r="C16" s="34"/>
      <c r="D16" s="35" t="str">
        <f>IF(ISERROR(D15/Porc!$G$3),"",(D15/Porc!$G$3))</f>
        <v/>
      </c>
      <c r="E16" s="35" t="str">
        <f>IF(ISERROR(E15/Porc!$G$3),"",(E15/Porc!$G$3))</f>
        <v/>
      </c>
      <c r="F16" s="35" t="str">
        <f>IF(ISERROR(F15/Porc!$G$3),"",(F15/Porc!$G$3))</f>
        <v/>
      </c>
      <c r="G16" s="14"/>
      <c r="H16" s="14"/>
      <c r="I16" s="14"/>
      <c r="J16" s="14"/>
      <c r="K16" s="14"/>
      <c r="L16" s="14"/>
      <c r="M16" s="14"/>
      <c r="N16" s="14"/>
      <c r="O16" s="14"/>
    </row>
    <row r="17" spans="1:15" x14ac:dyDescent="0.25">
      <c r="A17" s="14"/>
      <c r="B17" s="14"/>
      <c r="C17" s="34"/>
      <c r="D17" s="34"/>
      <c r="E17" s="34"/>
      <c r="F17" s="34"/>
      <c r="G17" s="34"/>
      <c r="H17" s="14"/>
      <c r="I17" s="14"/>
      <c r="J17" s="14"/>
      <c r="K17" s="14"/>
      <c r="L17" s="14"/>
      <c r="M17" s="14"/>
      <c r="N17" s="14"/>
      <c r="O17" s="14"/>
    </row>
    <row r="18" spans="1:15" x14ac:dyDescent="0.25">
      <c r="A18" s="14"/>
      <c r="B18" s="14"/>
      <c r="C18" s="34"/>
      <c r="D18" s="34"/>
      <c r="E18" s="34"/>
      <c r="F18" s="34"/>
      <c r="G18" s="34"/>
      <c r="H18" s="14"/>
      <c r="I18" s="14"/>
      <c r="J18" s="14"/>
      <c r="K18" s="14"/>
      <c r="L18" s="14"/>
      <c r="M18" s="14"/>
      <c r="N18" s="14"/>
      <c r="O18" s="14"/>
    </row>
    <row r="19" spans="1:15" ht="19.5" customHeight="1" x14ac:dyDescent="0.25">
      <c r="A19" s="14"/>
      <c r="B19" s="14"/>
      <c r="C19" s="34"/>
      <c r="D19" s="34"/>
      <c r="E19" s="34"/>
      <c r="F19" s="34"/>
      <c r="G19" s="34"/>
      <c r="H19" s="14"/>
      <c r="I19" s="14"/>
      <c r="J19" s="14"/>
      <c r="K19" s="14"/>
      <c r="L19" s="14"/>
      <c r="M19" s="14"/>
      <c r="N19" s="14"/>
      <c r="O19" s="14"/>
    </row>
    <row r="20" spans="1:15" x14ac:dyDescent="0.25">
      <c r="A20" s="14"/>
      <c r="B20" s="14"/>
      <c r="C20" s="34"/>
      <c r="D20" s="34"/>
      <c r="E20" s="34"/>
      <c r="F20" s="34"/>
      <c r="G20" s="34"/>
      <c r="H20" s="14"/>
      <c r="I20" s="14"/>
      <c r="J20" s="14"/>
      <c r="K20" s="14"/>
      <c r="L20" s="14"/>
      <c r="M20" s="14"/>
      <c r="N20" s="14"/>
      <c r="O20" s="14"/>
    </row>
    <row r="21" spans="1:15" x14ac:dyDescent="0.25">
      <c r="A21" s="14"/>
      <c r="B21" s="14"/>
      <c r="C21" s="34"/>
      <c r="D21" s="34"/>
      <c r="E21" s="34"/>
      <c r="F21" s="34"/>
      <c r="G21" s="34"/>
      <c r="H21" s="14"/>
      <c r="I21" s="14"/>
      <c r="J21" s="14"/>
      <c r="K21" s="14"/>
      <c r="L21" s="14"/>
      <c r="M21" s="14"/>
      <c r="N21" s="14"/>
      <c r="O21" s="14"/>
    </row>
    <row r="22" spans="1:15" x14ac:dyDescent="0.25">
      <c r="A22" s="14"/>
      <c r="B22" s="14"/>
      <c r="C22" s="34"/>
      <c r="D22" s="34"/>
      <c r="E22" s="34"/>
      <c r="F22" s="34"/>
      <c r="G22" s="34"/>
      <c r="H22" s="14"/>
      <c r="I22" s="14"/>
      <c r="J22" s="14"/>
      <c r="K22" s="14"/>
      <c r="L22" s="14"/>
      <c r="M22" s="14"/>
      <c r="N22" s="14"/>
      <c r="O22" s="14"/>
    </row>
    <row r="23" spans="1:15" x14ac:dyDescent="0.25">
      <c r="A23" s="14"/>
      <c r="B23" s="14"/>
      <c r="C23" s="34"/>
      <c r="D23" s="34"/>
      <c r="E23" s="34"/>
      <c r="F23" s="34"/>
      <c r="G23" s="34"/>
      <c r="H23" s="14"/>
      <c r="I23" s="14"/>
      <c r="J23" s="14"/>
      <c r="K23" s="14"/>
      <c r="L23" s="14"/>
      <c r="M23" s="14"/>
      <c r="N23" s="14"/>
      <c r="O23" s="14"/>
    </row>
    <row r="24" spans="1:15" x14ac:dyDescent="0.25">
      <c r="A24" s="14"/>
      <c r="B24" s="14"/>
      <c r="C24" s="34"/>
      <c r="D24" s="34"/>
      <c r="E24" s="34"/>
      <c r="F24" s="34"/>
      <c r="G24" s="34"/>
      <c r="H24" s="14"/>
      <c r="I24" s="36"/>
      <c r="J24" s="14"/>
      <c r="K24" s="14"/>
      <c r="L24" s="14"/>
      <c r="M24" s="14"/>
      <c r="N24" s="14"/>
      <c r="O24" s="14"/>
    </row>
    <row r="25" spans="1:15" x14ac:dyDescent="0.25">
      <c r="A25" s="14"/>
      <c r="B25" s="14"/>
      <c r="C25" s="34"/>
      <c r="D25" s="34"/>
      <c r="E25" s="34"/>
      <c r="F25" s="34"/>
      <c r="G25" s="34"/>
      <c r="H25" s="14"/>
      <c r="I25" s="14"/>
      <c r="J25" s="14"/>
      <c r="K25" s="14"/>
      <c r="L25" s="14"/>
      <c r="M25" s="14"/>
      <c r="N25" s="14"/>
      <c r="O25" s="14"/>
    </row>
    <row r="26" spans="1:15" ht="14.25" customHeight="1" x14ac:dyDescent="0.25">
      <c r="A26" s="14"/>
      <c r="B26" s="14"/>
      <c r="C26" s="14"/>
      <c r="D26" s="14"/>
      <c r="E26" s="14"/>
      <c r="F26" s="14"/>
      <c r="G26" s="14"/>
      <c r="H26" s="14"/>
      <c r="I26" s="14"/>
      <c r="J26" s="14"/>
      <c r="K26" s="14"/>
      <c r="L26" s="14"/>
      <c r="M26" s="14"/>
      <c r="N26" s="14"/>
      <c r="O26" s="14"/>
    </row>
    <row r="27" spans="1:15" ht="11.25" customHeight="1" x14ac:dyDescent="0.25">
      <c r="A27" s="14"/>
      <c r="B27" s="14"/>
      <c r="C27" s="14"/>
      <c r="D27" s="14"/>
      <c r="E27" s="14"/>
      <c r="F27" s="14"/>
      <c r="G27" s="102" t="s">
        <v>24</v>
      </c>
      <c r="H27" s="102"/>
      <c r="I27" s="14"/>
      <c r="J27" s="14"/>
      <c r="K27" s="14"/>
      <c r="L27" s="14"/>
      <c r="M27" s="14"/>
      <c r="N27" s="14"/>
      <c r="O27" s="94"/>
    </row>
    <row r="28" spans="1:15" ht="11.25" customHeight="1" x14ac:dyDescent="0.25">
      <c r="A28" s="14"/>
      <c r="B28" s="14"/>
      <c r="C28" s="14"/>
      <c r="D28" s="14"/>
      <c r="E28" s="14"/>
      <c r="F28" s="14"/>
      <c r="G28" s="103" t="s">
        <v>29</v>
      </c>
      <c r="H28" s="103"/>
      <c r="I28" s="14"/>
      <c r="J28" s="14"/>
      <c r="K28" s="14"/>
      <c r="L28" s="14"/>
      <c r="M28" s="14"/>
      <c r="N28" s="14"/>
      <c r="O28" s="14"/>
    </row>
    <row r="29" spans="1:15" ht="14.25" hidden="1" customHeight="1" x14ac:dyDescent="0.25">
      <c r="E29" s="1">
        <f>MAX(F29:H29)</f>
        <v>0</v>
      </c>
      <c r="F29" s="1" t="str">
        <f>IF(F31="a","a",(IF($F$30=F31,1,"b")))</f>
        <v>a</v>
      </c>
      <c r="G29" s="1" t="str">
        <f>IF(G31="a","a",(IF($F$30=G31,2,"b")))</f>
        <v>a</v>
      </c>
      <c r="H29" s="1" t="str">
        <f>IF(H31="a","a",(IF($F$30=H31,3,"b")))</f>
        <v>a</v>
      </c>
    </row>
    <row r="30" spans="1:15" ht="14.25" hidden="1" customHeight="1" x14ac:dyDescent="0.25">
      <c r="D30" s="71">
        <f>IF(G3*12&gt;187500*4,0.1*((G3*12*32%)-187500*4*32%),0)</f>
        <v>0</v>
      </c>
      <c r="F30" s="1">
        <f>MIN(F31:H31)</f>
        <v>0</v>
      </c>
    </row>
    <row r="31" spans="1:15" ht="14.25" hidden="1" customHeight="1" x14ac:dyDescent="0.25">
      <c r="D31" s="71">
        <f>G3*12*32%</f>
        <v>0</v>
      </c>
      <c r="E31" s="1">
        <f>20000*4</f>
        <v>80000</v>
      </c>
      <c r="F31" s="1" t="str">
        <f t="shared" ref="F31:G31" si="0">IF(F32="","a",F35)</f>
        <v>a</v>
      </c>
      <c r="G31" s="1" t="str">
        <f t="shared" si="0"/>
        <v>a</v>
      </c>
      <c r="H31" s="1" t="str">
        <f>IF(H32="","a",H35)</f>
        <v>a</v>
      </c>
      <c r="J31" s="1">
        <v>1</v>
      </c>
      <c r="K31" s="1" t="str">
        <f>F32</f>
        <v/>
      </c>
      <c r="L31" s="1">
        <f>IF(K31="",0,1)</f>
        <v>0</v>
      </c>
      <c r="N31" s="1">
        <v>1</v>
      </c>
    </row>
    <row r="32" spans="1:15" ht="14.25" hidden="1" customHeight="1" x14ac:dyDescent="0.25">
      <c r="C32" s="63"/>
      <c r="D32" s="72">
        <f>((D31-E31)*0.1)/3</f>
        <v>-2666.6666666666665</v>
      </c>
      <c r="E32" s="63"/>
      <c r="F32" s="64" t="str">
        <f>IF(F33=1,(IF(F35=E36,"Lucro Real",IF(F35=E37,"Lucro Presumido",IF(F35=E38,"Simples Nacional","")))),"")</f>
        <v/>
      </c>
      <c r="G32" s="64" t="str">
        <f>IF(G33=1,(IF(G35=E36,"Lucro Real",IF(G35=E37,"Lucro Presumido",""))),"")</f>
        <v/>
      </c>
      <c r="H32" s="64" t="str">
        <f>IF(H33=1,"Lucro Real","")</f>
        <v/>
      </c>
      <c r="I32" s="63"/>
      <c r="J32" s="1">
        <v>2</v>
      </c>
      <c r="K32" s="1" t="str">
        <f>G32</f>
        <v/>
      </c>
      <c r="L32" s="1">
        <f t="shared" ref="L32:L33" si="1">IF(K32="",0,1)</f>
        <v>0</v>
      </c>
      <c r="N32" s="1">
        <v>2</v>
      </c>
    </row>
    <row r="33" spans="3:14" ht="14.25" hidden="1" customHeight="1" x14ac:dyDescent="0.25">
      <c r="C33" s="65">
        <f>G3*12</f>
        <v>0</v>
      </c>
      <c r="D33" s="65"/>
      <c r="E33" s="63"/>
      <c r="F33" s="66" t="str">
        <f>IF(C33&lt;=0,"",(IF(C33&lt;3600000,1,0)))</f>
        <v/>
      </c>
      <c r="G33" s="66" t="str">
        <f>IF(C33&lt;=0,"",(IF((OR(C33&gt;3600000,C33&lt;48000000)),1,0)))</f>
        <v/>
      </c>
      <c r="H33" s="66" t="str">
        <f>IF(C33&lt;=0,"",(IF(C33&gt;48000000,1,0)))</f>
        <v/>
      </c>
      <c r="I33" s="63"/>
      <c r="J33" s="1">
        <v>3</v>
      </c>
      <c r="K33" s="1" t="str">
        <f>H32</f>
        <v/>
      </c>
      <c r="L33" s="1">
        <f t="shared" si="1"/>
        <v>0</v>
      </c>
      <c r="N33" s="1">
        <v>3</v>
      </c>
    </row>
    <row r="34" spans="3:14" ht="14.25" hidden="1" customHeight="1" x14ac:dyDescent="0.25">
      <c r="C34" s="63"/>
      <c r="D34" s="63"/>
      <c r="E34" s="63"/>
      <c r="F34" s="64" t="s">
        <v>11</v>
      </c>
      <c r="G34" s="64" t="s">
        <v>12</v>
      </c>
      <c r="H34" s="64" t="s">
        <v>10</v>
      </c>
      <c r="I34" s="63"/>
    </row>
    <row r="35" spans="3:14" ht="14.25" hidden="1" customHeight="1" x14ac:dyDescent="0.25">
      <c r="C35" s="63"/>
      <c r="D35" s="63"/>
      <c r="E35" s="63"/>
      <c r="F35" s="38">
        <f>(MIN(E36:E38))</f>
        <v>0</v>
      </c>
      <c r="G35" s="38">
        <f>MIN(E36:E37)</f>
        <v>0</v>
      </c>
      <c r="H35" s="38">
        <f>MIN(E36)</f>
        <v>0</v>
      </c>
      <c r="I35" s="63"/>
      <c r="L35" s="62" t="str">
        <f>(IF($E$29=N31,K31,(IF($E$29=N32,K32,(IF($E$29=N33,K33,""))))))</f>
        <v/>
      </c>
    </row>
    <row r="36" spans="3:14" ht="14.25" hidden="1" customHeight="1" x14ac:dyDescent="0.25">
      <c r="C36" s="63" t="str">
        <f>D7</f>
        <v>Lucro Real</v>
      </c>
      <c r="D36" s="63"/>
      <c r="E36" s="38">
        <f>D15</f>
        <v>0</v>
      </c>
      <c r="F36" s="63" t="str">
        <f>IF(F35=E36,$C$36,"")</f>
        <v>Lucro Real</v>
      </c>
      <c r="G36" s="63"/>
      <c r="H36" s="63"/>
      <c r="I36" s="63"/>
    </row>
    <row r="37" spans="3:14" ht="14.25" hidden="1" customHeight="1" x14ac:dyDescent="0.25">
      <c r="C37" s="63" t="str">
        <f>E7</f>
        <v>Lucro Presumido</v>
      </c>
      <c r="D37" s="63"/>
      <c r="E37" s="38">
        <f>E15</f>
        <v>0</v>
      </c>
      <c r="F37" s="63" t="str">
        <f>IF(F35=E37,$C$37,"")</f>
        <v>Lucro Presumido</v>
      </c>
      <c r="G37" s="63"/>
      <c r="H37" s="63"/>
      <c r="I37" s="63"/>
    </row>
    <row r="38" spans="3:14" ht="14.25" hidden="1" customHeight="1" x14ac:dyDescent="0.25">
      <c r="C38" s="63" t="str">
        <f>F7</f>
        <v>Simples Nacional</v>
      </c>
      <c r="D38" s="63"/>
      <c r="E38" s="38">
        <f>F15</f>
        <v>0</v>
      </c>
      <c r="F38" s="64" t="str">
        <f>IF(F35=E38,$C$38,"")</f>
        <v>Simples Nacional</v>
      </c>
      <c r="G38" s="64"/>
      <c r="H38" s="64"/>
      <c r="I38" s="63"/>
    </row>
    <row r="39" spans="3:14" ht="14.25" hidden="1" customHeight="1" x14ac:dyDescent="0.25"/>
    <row r="40" spans="3:14" ht="14.25" hidden="1" customHeight="1" x14ac:dyDescent="0.25">
      <c r="J40" s="44" t="str">
        <f>IF(C33&gt;=48000000,"Faturamento anual superior a R$ 48 milhões, regime permitido, Lucro Real",IF(AND(C33&gt;3600000,C33&lt;48000000),"Faturamento anual &gt; 3,6 milhões e &lt; 48 milhões. Regimes Permitidos, Presumido e Real",IF(C33&lt;3600000,"Faturamento anual &lt; 3,60 milhões, os três regimes tributários permitidos","")))</f>
        <v>Faturamento anual &lt; 3,60 milhões, os três regimes tributários permitidos</v>
      </c>
    </row>
    <row r="41" spans="3:14" ht="14.25" hidden="1" customHeight="1" x14ac:dyDescent="0.25"/>
    <row r="42" spans="3:14" ht="14.25" hidden="1" customHeight="1" x14ac:dyDescent="0.25">
      <c r="C42" s="40">
        <v>0</v>
      </c>
      <c r="D42" s="40"/>
      <c r="E42" s="41">
        <v>1</v>
      </c>
      <c r="F42" s="41">
        <v>1</v>
      </c>
      <c r="I42" s="38">
        <f>MAX(J43:J45)</f>
        <v>0</v>
      </c>
      <c r="J42" s="38">
        <f>MIN(J43:J45)</f>
        <v>0</v>
      </c>
      <c r="K42" s="38">
        <f>I42-J42</f>
        <v>0</v>
      </c>
    </row>
    <row r="43" spans="3:14" ht="14.25" hidden="1" customHeight="1" x14ac:dyDescent="0.25">
      <c r="C43" s="40">
        <v>0.01</v>
      </c>
      <c r="D43" s="40"/>
      <c r="E43" s="41">
        <v>2</v>
      </c>
      <c r="F43" s="42">
        <f>LOOKUP(F42,E42:E47,C42:C47)</f>
        <v>0</v>
      </c>
      <c r="H43" s="68" t="str">
        <f>C36</f>
        <v>Lucro Real</v>
      </c>
      <c r="I43" s="38">
        <f t="shared" ref="I43:I44" si="2">E36</f>
        <v>0</v>
      </c>
      <c r="J43" s="38" t="str">
        <f t="shared" ref="J43:J44" si="3">IF(I43=0,"a",I43)</f>
        <v>a</v>
      </c>
      <c r="K43" s="38"/>
      <c r="L43" s="38"/>
      <c r="M43" s="38"/>
      <c r="N43" s="38"/>
    </row>
    <row r="44" spans="3:14" ht="14.25" hidden="1" customHeight="1" x14ac:dyDescent="0.25">
      <c r="C44" s="40">
        <v>0.02</v>
      </c>
      <c r="D44" s="40"/>
      <c r="E44" s="41">
        <v>3</v>
      </c>
      <c r="F44" s="67"/>
      <c r="H44" s="68" t="str">
        <f t="shared" ref="H44:H45" si="4">C37</f>
        <v>Lucro Presumido</v>
      </c>
      <c r="I44" s="38">
        <f t="shared" si="2"/>
        <v>0</v>
      </c>
      <c r="J44" s="38" t="str">
        <f t="shared" si="3"/>
        <v>a</v>
      </c>
      <c r="K44" s="38"/>
      <c r="L44" s="38"/>
      <c r="M44" s="38"/>
      <c r="N44" s="38"/>
    </row>
    <row r="45" spans="3:14" ht="14.25" hidden="1" customHeight="1" x14ac:dyDescent="0.25">
      <c r="C45" s="40">
        <v>0.03</v>
      </c>
      <c r="D45" s="40"/>
      <c r="E45" s="41">
        <v>4</v>
      </c>
      <c r="F45" s="67"/>
      <c r="H45" s="68" t="str">
        <f t="shared" si="4"/>
        <v>Simples Nacional</v>
      </c>
      <c r="I45" s="38">
        <f>E38</f>
        <v>0</v>
      </c>
      <c r="J45" s="38" t="str">
        <f>IF(I45=0,"a",I45)</f>
        <v>a</v>
      </c>
      <c r="K45" s="38"/>
      <c r="L45" s="38"/>
      <c r="M45" s="38"/>
      <c r="N45" s="38"/>
    </row>
    <row r="46" spans="3:14" ht="14.25" hidden="1" customHeight="1" x14ac:dyDescent="0.25">
      <c r="C46" s="40">
        <v>0.04</v>
      </c>
      <c r="D46" s="40"/>
      <c r="E46" s="41">
        <v>5</v>
      </c>
      <c r="F46" s="67"/>
    </row>
    <row r="47" spans="3:14" ht="14.25" hidden="1" customHeight="1" x14ac:dyDescent="0.25">
      <c r="C47" s="40">
        <v>0.05</v>
      </c>
      <c r="D47" s="40"/>
      <c r="E47" s="41">
        <v>6</v>
      </c>
      <c r="F47" s="67"/>
    </row>
    <row r="48" spans="3:14" ht="14.25" hidden="1" customHeight="1" x14ac:dyDescent="0.25">
      <c r="E48" s="1">
        <v>7</v>
      </c>
    </row>
    <row r="49" spans="5:12" ht="14.25" hidden="1" customHeight="1" x14ac:dyDescent="0.25">
      <c r="E49" s="1">
        <v>8</v>
      </c>
    </row>
    <row r="50" spans="5:12" ht="14.25" hidden="1" customHeight="1" x14ac:dyDescent="0.25">
      <c r="E50" s="1">
        <v>9</v>
      </c>
      <c r="J50" s="1">
        <v>1</v>
      </c>
      <c r="K50" s="1">
        <v>5</v>
      </c>
      <c r="L50" s="1">
        <v>120</v>
      </c>
    </row>
    <row r="51" spans="5:12" ht="14.25" hidden="1" customHeight="1" x14ac:dyDescent="0.25">
      <c r="E51" s="1">
        <v>10</v>
      </c>
      <c r="J51" s="1">
        <v>6</v>
      </c>
      <c r="K51" s="1">
        <v>10</v>
      </c>
      <c r="L51" s="1">
        <v>180</v>
      </c>
    </row>
    <row r="52" spans="5:12" ht="14.25" hidden="1" customHeight="1" x14ac:dyDescent="0.25">
      <c r="E52" s="1">
        <v>11</v>
      </c>
      <c r="J52" s="1">
        <v>11</v>
      </c>
      <c r="K52" s="1">
        <v>20</v>
      </c>
      <c r="L52" s="1">
        <v>240</v>
      </c>
    </row>
    <row r="53" spans="5:12" ht="14.25" hidden="1" customHeight="1" x14ac:dyDescent="0.25">
      <c r="E53" s="1">
        <v>12</v>
      </c>
      <c r="G53" s="1">
        <v>0</v>
      </c>
      <c r="J53" s="1">
        <v>21</v>
      </c>
      <c r="K53" s="1">
        <v>1000</v>
      </c>
      <c r="L53" s="1">
        <v>300</v>
      </c>
    </row>
    <row r="54" spans="5:12" ht="14.25" hidden="1" customHeight="1" x14ac:dyDescent="0.25">
      <c r="E54" s="1">
        <v>13</v>
      </c>
      <c r="G54" s="1">
        <v>360000</v>
      </c>
    </row>
    <row r="55" spans="5:12" ht="14.25" hidden="1" customHeight="1" x14ac:dyDescent="0.25">
      <c r="E55" s="1">
        <v>14</v>
      </c>
    </row>
    <row r="56" spans="5:12" ht="14.25" hidden="1" customHeight="1" x14ac:dyDescent="0.25">
      <c r="E56" s="1">
        <v>15</v>
      </c>
    </row>
    <row r="57" spans="5:12" ht="14.25" hidden="1" customHeight="1" x14ac:dyDescent="0.25">
      <c r="E57" s="1">
        <v>16</v>
      </c>
      <c r="G57" s="71">
        <f>G3-(SUM(D9:D10)+D14+G4+G5+((G4*13.33*1.12)/12))</f>
        <v>0</v>
      </c>
    </row>
    <row r="58" spans="5:12" ht="14.25" hidden="1" customHeight="1" x14ac:dyDescent="0.25">
      <c r="E58" s="1">
        <v>17</v>
      </c>
    </row>
    <row r="59" spans="5:12" ht="14.25" hidden="1" customHeight="1" x14ac:dyDescent="0.25">
      <c r="E59" s="1">
        <v>18</v>
      </c>
    </row>
    <row r="60" spans="5:12" ht="14.25" hidden="1" customHeight="1" x14ac:dyDescent="0.25">
      <c r="E60" s="1">
        <v>19</v>
      </c>
    </row>
    <row r="61" spans="5:12" ht="14.25" hidden="1" customHeight="1" x14ac:dyDescent="0.25">
      <c r="E61" s="1">
        <v>20</v>
      </c>
    </row>
    <row r="62" spans="5:12" ht="14.25" hidden="1" customHeight="1" x14ac:dyDescent="0.25">
      <c r="E62" s="1">
        <v>21</v>
      </c>
    </row>
    <row r="63" spans="5:12" ht="14.25" hidden="1" customHeight="1" x14ac:dyDescent="0.25"/>
    <row r="64" spans="5:12" ht="14.25" hidden="1" customHeight="1" x14ac:dyDescent="0.25"/>
    <row r="65" ht="14.25" hidden="1" customHeight="1" x14ac:dyDescent="0.25"/>
    <row r="66" ht="14.25" hidden="1" customHeight="1" x14ac:dyDescent="0.25"/>
    <row r="67" ht="14.25" hidden="1" customHeight="1" x14ac:dyDescent="0.25"/>
  </sheetData>
  <sheetProtection password="C10D" sheet="1" objects="1" scenarios="1" selectLockedCells="1"/>
  <mergeCells count="7">
    <mergeCell ref="G28:H28"/>
    <mergeCell ref="E3:F3"/>
    <mergeCell ref="E4:F4"/>
    <mergeCell ref="L4:N4"/>
    <mergeCell ref="E5:F5"/>
    <mergeCell ref="G27:H27"/>
    <mergeCell ref="H2:O3"/>
  </mergeCells>
  <conditionalFormatting sqref="C7:F15">
    <cfRule type="expression" dxfId="21" priority="4">
      <formula>SUM($G$3:$G$5)=0</formula>
    </cfRule>
  </conditionalFormatting>
  <conditionalFormatting sqref="E3:F3">
    <cfRule type="expression" dxfId="20" priority="3">
      <formula>$E$3="Erro digitação"</formula>
    </cfRule>
  </conditionalFormatting>
  <conditionalFormatting sqref="E4:F4">
    <cfRule type="expression" dxfId="19" priority="2">
      <formula>$E$4="Erro digitação"</formula>
    </cfRule>
  </conditionalFormatting>
  <conditionalFormatting sqref="E5:F5">
    <cfRule type="expression" dxfId="18" priority="1">
      <formula>$E$5="Erro digitação"</formula>
    </cfRule>
  </conditionalFormatting>
  <dataValidations count="1">
    <dataValidation type="decimal" allowBlank="1" showInputMessage="1" showErrorMessage="1" errorTitle="Informação Incorreta" error="Alíquota só pode ser até 5%" promptTitle="Valor ISSQN" prompt="Digite a Alíquota do seu Município" sqref="D2">
      <formula1>0.01</formula1>
      <formula2>0.05</formula2>
    </dataValidation>
  </dataValidations>
  <printOptions horizontalCentered="1" verticalCentered="1"/>
  <pageMargins left="0.39370078740157483" right="0.39370078740157483" top="0.78740157480314965" bottom="0.78740157480314965" header="0.31496062992125984" footer="0.31496062992125984"/>
  <pageSetup paperSize="9" scale="9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Q27"/>
  <sheetViews>
    <sheetView showGridLines="0" topLeftCell="A4" zoomScale="110" zoomScaleNormal="110" workbookViewId="0">
      <selection activeCell="E26" sqref="E26"/>
    </sheetView>
  </sheetViews>
  <sheetFormatPr defaultColWidth="0" defaultRowHeight="12.75" zeroHeight="1" x14ac:dyDescent="0.25"/>
  <cols>
    <col min="1" max="2" width="11.7109375" style="7" bestFit="1" customWidth="1"/>
    <col min="3" max="9" width="9.28515625" style="7" customWidth="1"/>
    <col min="10" max="16384" width="9.28515625" style="7" hidden="1"/>
  </cols>
  <sheetData>
    <row r="1" spans="1:17" hidden="1" x14ac:dyDescent="0.25"/>
    <row r="2" spans="1:17" hidden="1" x14ac:dyDescent="0.25">
      <c r="K2" s="8">
        <f>Soc!G3*12</f>
        <v>0</v>
      </c>
      <c r="L2" s="9">
        <f t="shared" ref="L2:Q2" si="0">LOOKUP($K$2,$A$6:$B$25,D6:D25)</f>
        <v>0.02</v>
      </c>
      <c r="M2" s="9">
        <f t="shared" si="0"/>
        <v>0</v>
      </c>
      <c r="N2" s="9">
        <f t="shared" si="0"/>
        <v>1.2800000000000001E-2</v>
      </c>
      <c r="O2" s="9">
        <f t="shared" si="0"/>
        <v>1.2200000000000001E-2</v>
      </c>
      <c r="P2" s="9">
        <f t="shared" si="0"/>
        <v>0</v>
      </c>
      <c r="Q2" s="9">
        <f t="shared" si="0"/>
        <v>0</v>
      </c>
    </row>
    <row r="3" spans="1:17" hidden="1" x14ac:dyDescent="0.25">
      <c r="J3" s="10"/>
      <c r="L3" s="11">
        <f>Soc!$G$3*L2</f>
        <v>0</v>
      </c>
      <c r="M3" s="11">
        <f>Soc!$G$3*M2</f>
        <v>0</v>
      </c>
      <c r="N3" s="11">
        <f>Soc!$G$3*N2</f>
        <v>0</v>
      </c>
      <c r="O3" s="11">
        <f>Soc!$G$3*O2</f>
        <v>0</v>
      </c>
      <c r="P3" s="11">
        <f>Soc!$G$3*P2</f>
        <v>0</v>
      </c>
      <c r="Q3" s="11">
        <f>Soc!$G$3*Q2</f>
        <v>0</v>
      </c>
    </row>
    <row r="4" spans="1:17" ht="36" customHeight="1" x14ac:dyDescent="0.25">
      <c r="A4" s="116" t="s">
        <v>9</v>
      </c>
      <c r="B4" s="117"/>
      <c r="C4" s="117"/>
      <c r="D4" s="117"/>
      <c r="E4" s="117"/>
      <c r="F4" s="117"/>
      <c r="G4" s="117"/>
      <c r="H4" s="117"/>
      <c r="I4" s="117"/>
      <c r="J4" s="10"/>
    </row>
    <row r="5" spans="1:17" ht="23.25" customHeight="1" thickBot="1" x14ac:dyDescent="0.3">
      <c r="A5" s="114" t="s">
        <v>8</v>
      </c>
      <c r="B5" s="115"/>
      <c r="C5" s="51" t="s">
        <v>0</v>
      </c>
      <c r="D5" s="52" t="s">
        <v>4</v>
      </c>
      <c r="E5" s="52" t="s">
        <v>5</v>
      </c>
      <c r="F5" s="52" t="s">
        <v>3</v>
      </c>
      <c r="G5" s="52" t="s">
        <v>2</v>
      </c>
      <c r="H5" s="52" t="s">
        <v>1</v>
      </c>
      <c r="I5" s="53" t="s">
        <v>7</v>
      </c>
      <c r="J5" s="10"/>
    </row>
    <row r="6" spans="1:17" x14ac:dyDescent="0.25">
      <c r="A6" s="46">
        <v>0</v>
      </c>
      <c r="B6" s="47">
        <v>180000</v>
      </c>
      <c r="C6" s="48">
        <f>SUM(D6:I6)</f>
        <v>4.5000000000000005E-2</v>
      </c>
      <c r="D6" s="49">
        <v>0.02</v>
      </c>
      <c r="E6" s="49">
        <v>0</v>
      </c>
      <c r="F6" s="49">
        <v>1.2800000000000001E-2</v>
      </c>
      <c r="G6" s="49">
        <v>1.2200000000000001E-2</v>
      </c>
      <c r="H6" s="49">
        <v>0</v>
      </c>
      <c r="I6" s="49">
        <v>0</v>
      </c>
      <c r="J6" s="12">
        <f>IF(AND($K$2&gt;=A6,$K$2&lt;B6),1,"")</f>
        <v>1</v>
      </c>
      <c r="K6" s="8"/>
    </row>
    <row r="7" spans="1:17" x14ac:dyDescent="0.25">
      <c r="A7" s="46">
        <f t="shared" ref="A7:A24" si="1">B6+0.01</f>
        <v>180000.01</v>
      </c>
      <c r="B7" s="47">
        <v>360000</v>
      </c>
      <c r="C7" s="48">
        <f t="shared" ref="C7:C25" si="2">SUM(D7:I7)</f>
        <v>6.54E-2</v>
      </c>
      <c r="D7" s="49">
        <v>2.7900000000000001E-2</v>
      </c>
      <c r="E7" s="49">
        <v>0</v>
      </c>
      <c r="F7" s="49">
        <v>1.9099999999999999E-2</v>
      </c>
      <c r="G7" s="49">
        <v>1.84E-2</v>
      </c>
      <c r="H7" s="49">
        <v>0</v>
      </c>
      <c r="I7" s="49">
        <v>0</v>
      </c>
      <c r="J7" s="12" t="str">
        <f>IF(AND($K$2&gt;=A7,$K$2&lt;B7),1,"")</f>
        <v/>
      </c>
    </row>
    <row r="8" spans="1:17" x14ac:dyDescent="0.25">
      <c r="A8" s="46">
        <f t="shared" si="1"/>
        <v>360000.01</v>
      </c>
      <c r="B8" s="47">
        <v>540000</v>
      </c>
      <c r="C8" s="48">
        <f t="shared" si="2"/>
        <v>7.7000000000000013E-2</v>
      </c>
      <c r="D8" s="49">
        <v>3.5000000000000003E-2</v>
      </c>
      <c r="E8" s="49">
        <v>2.3999999999999998E-3</v>
      </c>
      <c r="F8" s="49">
        <v>1.95E-2</v>
      </c>
      <c r="G8" s="49">
        <v>1.8499999999999999E-2</v>
      </c>
      <c r="H8" s="49">
        <v>1.6000000000000001E-3</v>
      </c>
      <c r="I8" s="49">
        <v>0</v>
      </c>
      <c r="J8" s="12" t="str">
        <f t="shared" ref="J8" si="3">IF(AND($K$2&gt;=A8,$K$2&lt;B8),1,"")</f>
        <v/>
      </c>
    </row>
    <row r="9" spans="1:17" x14ac:dyDescent="0.25">
      <c r="A9" s="46">
        <f t="shared" si="1"/>
        <v>540000.01</v>
      </c>
      <c r="B9" s="47">
        <v>720000</v>
      </c>
      <c r="C9" s="48">
        <f t="shared" si="2"/>
        <v>8.4899999999999989E-2</v>
      </c>
      <c r="D9" s="49">
        <v>3.8399999999999997E-2</v>
      </c>
      <c r="E9" s="49">
        <v>2.7000000000000001E-3</v>
      </c>
      <c r="F9" s="49">
        <v>1.9900000000000001E-2</v>
      </c>
      <c r="G9" s="49">
        <v>1.8700000000000001E-2</v>
      </c>
      <c r="H9" s="49">
        <v>5.1999999999999998E-3</v>
      </c>
      <c r="I9" s="49">
        <v>0</v>
      </c>
      <c r="J9" s="12" t="str">
        <f t="shared" ref="J9:J25" si="4">IF(AND($K$2&gt;=A9,$K$2&lt;B9),1,"")</f>
        <v/>
      </c>
    </row>
    <row r="10" spans="1:17" x14ac:dyDescent="0.25">
      <c r="A10" s="46">
        <f t="shared" si="1"/>
        <v>720000.01</v>
      </c>
      <c r="B10" s="47">
        <v>900000</v>
      </c>
      <c r="C10" s="48">
        <f t="shared" si="2"/>
        <v>8.9700000000000002E-2</v>
      </c>
      <c r="D10" s="49">
        <v>3.8699999999999998E-2</v>
      </c>
      <c r="E10" s="49">
        <v>2.8999999999999998E-3</v>
      </c>
      <c r="F10" s="49">
        <v>2.0299999999999999E-2</v>
      </c>
      <c r="G10" s="49">
        <v>1.89E-2</v>
      </c>
      <c r="H10" s="49">
        <v>8.8999999999999999E-3</v>
      </c>
      <c r="I10" s="49">
        <v>0</v>
      </c>
      <c r="J10" s="12" t="str">
        <f t="shared" si="4"/>
        <v/>
      </c>
    </row>
    <row r="11" spans="1:17" x14ac:dyDescent="0.25">
      <c r="A11" s="46">
        <f t="shared" si="1"/>
        <v>900000.01</v>
      </c>
      <c r="B11" s="47">
        <v>1080000</v>
      </c>
      <c r="C11" s="48">
        <f t="shared" si="2"/>
        <v>9.7799999999999984E-2</v>
      </c>
      <c r="D11" s="49">
        <v>4.2299999999999997E-2</v>
      </c>
      <c r="E11" s="49">
        <v>3.2000000000000002E-3</v>
      </c>
      <c r="F11" s="49">
        <v>2.07E-2</v>
      </c>
      <c r="G11" s="49">
        <v>1.9099999999999999E-2</v>
      </c>
      <c r="H11" s="49">
        <v>1.2500000000000001E-2</v>
      </c>
      <c r="I11" s="49">
        <v>0</v>
      </c>
      <c r="J11" s="12" t="str">
        <f t="shared" si="4"/>
        <v/>
      </c>
      <c r="N11" s="13"/>
    </row>
    <row r="12" spans="1:17" x14ac:dyDescent="0.25">
      <c r="A12" s="46">
        <f t="shared" si="1"/>
        <v>1080000.01</v>
      </c>
      <c r="B12" s="47">
        <v>1260000</v>
      </c>
      <c r="C12" s="48">
        <f t="shared" si="2"/>
        <v>0.1026</v>
      </c>
      <c r="D12" s="49">
        <v>4.2599999999999999E-2</v>
      </c>
      <c r="E12" s="49">
        <v>3.3999999999999998E-3</v>
      </c>
      <c r="F12" s="49">
        <v>2.1100000000000001E-2</v>
      </c>
      <c r="G12" s="49">
        <v>1.9300000000000001E-2</v>
      </c>
      <c r="H12" s="49">
        <v>1.6199999999999999E-2</v>
      </c>
      <c r="I12" s="49">
        <v>0</v>
      </c>
      <c r="J12" s="12" t="str">
        <f t="shared" si="4"/>
        <v/>
      </c>
    </row>
    <row r="13" spans="1:17" x14ac:dyDescent="0.25">
      <c r="A13" s="46">
        <f t="shared" si="1"/>
        <v>1260000.01</v>
      </c>
      <c r="B13" s="47">
        <v>1440000</v>
      </c>
      <c r="C13" s="48">
        <f t="shared" si="2"/>
        <v>0.1076</v>
      </c>
      <c r="D13" s="49">
        <v>4.3099999999999999E-2</v>
      </c>
      <c r="E13" s="49">
        <v>3.5000000000000001E-3</v>
      </c>
      <c r="F13" s="49">
        <v>2.1499999999999998E-2</v>
      </c>
      <c r="G13" s="49">
        <v>1.95E-2</v>
      </c>
      <c r="H13" s="49">
        <v>0.02</v>
      </c>
      <c r="I13" s="49">
        <v>0</v>
      </c>
      <c r="J13" s="12" t="str">
        <f t="shared" si="4"/>
        <v/>
      </c>
    </row>
    <row r="14" spans="1:17" x14ac:dyDescent="0.25">
      <c r="A14" s="46">
        <f t="shared" si="1"/>
        <v>1440000.01</v>
      </c>
      <c r="B14" s="47">
        <v>1620000</v>
      </c>
      <c r="C14" s="48">
        <f t="shared" si="2"/>
        <v>0.11509999999999999</v>
      </c>
      <c r="D14" s="49">
        <v>4.6100000000000002E-2</v>
      </c>
      <c r="E14" s="49">
        <v>3.7000000000000002E-3</v>
      </c>
      <c r="F14" s="49">
        <v>2.1899999999999999E-2</v>
      </c>
      <c r="G14" s="49">
        <v>1.9699999999999999E-2</v>
      </c>
      <c r="H14" s="49">
        <v>2.3699999999999999E-2</v>
      </c>
      <c r="I14" s="49">
        <v>0</v>
      </c>
      <c r="J14" s="12" t="str">
        <f t="shared" si="4"/>
        <v/>
      </c>
    </row>
    <row r="15" spans="1:17" x14ac:dyDescent="0.25">
      <c r="A15" s="46">
        <f t="shared" si="1"/>
        <v>1620000.01</v>
      </c>
      <c r="B15" s="47">
        <v>1800000</v>
      </c>
      <c r="C15" s="48">
        <f t="shared" si="2"/>
        <v>0.12</v>
      </c>
      <c r="D15" s="49">
        <v>4.65E-2</v>
      </c>
      <c r="E15" s="49">
        <v>3.8E-3</v>
      </c>
      <c r="F15" s="49">
        <v>2.23E-2</v>
      </c>
      <c r="G15" s="49">
        <v>0.02</v>
      </c>
      <c r="H15" s="49">
        <v>2.7400000000000001E-2</v>
      </c>
      <c r="I15" s="49">
        <v>0</v>
      </c>
      <c r="J15" s="12" t="str">
        <f t="shared" si="4"/>
        <v/>
      </c>
    </row>
    <row r="16" spans="1:17" x14ac:dyDescent="0.25">
      <c r="A16" s="46">
        <f t="shared" si="1"/>
        <v>1800000.01</v>
      </c>
      <c r="B16" s="47">
        <v>1980000</v>
      </c>
      <c r="C16" s="48">
        <f t="shared" si="2"/>
        <v>0.128</v>
      </c>
      <c r="D16" s="49">
        <v>0.05</v>
      </c>
      <c r="E16" s="49">
        <v>4.0000000000000001E-3</v>
      </c>
      <c r="F16" s="49">
        <v>2.2700000000000001E-2</v>
      </c>
      <c r="G16" s="49">
        <v>2.01E-2</v>
      </c>
      <c r="H16" s="49">
        <v>3.1199999999999999E-2</v>
      </c>
      <c r="I16" s="49">
        <v>0</v>
      </c>
      <c r="J16" s="12" t="str">
        <f t="shared" si="4"/>
        <v/>
      </c>
    </row>
    <row r="17" spans="1:11" x14ac:dyDescent="0.25">
      <c r="A17" s="46">
        <f t="shared" si="1"/>
        <v>1980000.01</v>
      </c>
      <c r="B17" s="47">
        <v>2160000</v>
      </c>
      <c r="C17" s="48">
        <f t="shared" si="2"/>
        <v>0.13250000000000001</v>
      </c>
      <c r="D17" s="49">
        <v>0.05</v>
      </c>
      <c r="E17" s="49">
        <v>4.1999999999999997E-3</v>
      </c>
      <c r="F17" s="49">
        <v>2.3099999999999999E-2</v>
      </c>
      <c r="G17" s="49">
        <v>2.0299999999999999E-2</v>
      </c>
      <c r="H17" s="49">
        <v>3.49E-2</v>
      </c>
      <c r="I17" s="49">
        <v>0</v>
      </c>
      <c r="J17" s="12" t="str">
        <f t="shared" si="4"/>
        <v/>
      </c>
    </row>
    <row r="18" spans="1:11" x14ac:dyDescent="0.25">
      <c r="A18" s="46">
        <f t="shared" si="1"/>
        <v>2160000.0099999998</v>
      </c>
      <c r="B18" s="47">
        <v>2340000</v>
      </c>
      <c r="C18" s="48">
        <f t="shared" si="2"/>
        <v>0.13700000000000001</v>
      </c>
      <c r="D18" s="49">
        <v>0.05</v>
      </c>
      <c r="E18" s="49">
        <v>4.4000000000000003E-3</v>
      </c>
      <c r="F18" s="49">
        <v>2.35E-2</v>
      </c>
      <c r="G18" s="49">
        <v>2.0500000000000001E-2</v>
      </c>
      <c r="H18" s="49">
        <v>3.8600000000000002E-2</v>
      </c>
      <c r="I18" s="49">
        <v>0</v>
      </c>
      <c r="J18" s="12" t="str">
        <f t="shared" si="4"/>
        <v/>
      </c>
    </row>
    <row r="19" spans="1:11" x14ac:dyDescent="0.25">
      <c r="A19" s="46">
        <f t="shared" si="1"/>
        <v>2340000.0099999998</v>
      </c>
      <c r="B19" s="47">
        <v>2520000</v>
      </c>
      <c r="C19" s="48">
        <f t="shared" si="2"/>
        <v>0.14149999999999999</v>
      </c>
      <c r="D19" s="49">
        <v>0.05</v>
      </c>
      <c r="E19" s="49">
        <v>4.5999999999999999E-3</v>
      </c>
      <c r="F19" s="49">
        <v>2.3900000000000001E-2</v>
      </c>
      <c r="G19" s="49">
        <v>2.07E-2</v>
      </c>
      <c r="H19" s="49">
        <v>4.2299999999999997E-2</v>
      </c>
      <c r="I19" s="49">
        <v>0</v>
      </c>
      <c r="J19" s="12" t="str">
        <f t="shared" si="4"/>
        <v/>
      </c>
      <c r="K19" s="13"/>
    </row>
    <row r="20" spans="1:11" x14ac:dyDescent="0.25">
      <c r="A20" s="46">
        <f t="shared" si="1"/>
        <v>2520000.0099999998</v>
      </c>
      <c r="B20" s="47">
        <v>2700000</v>
      </c>
      <c r="C20" s="48">
        <f t="shared" si="2"/>
        <v>0.14600000000000002</v>
      </c>
      <c r="D20" s="49">
        <v>0.05</v>
      </c>
      <c r="E20" s="49">
        <v>4.7000000000000002E-3</v>
      </c>
      <c r="F20" s="49">
        <v>2.4299999999999999E-2</v>
      </c>
      <c r="G20" s="49">
        <v>2.1000000000000001E-2</v>
      </c>
      <c r="H20" s="49">
        <v>4.5999999999999999E-2</v>
      </c>
      <c r="I20" s="49">
        <v>0</v>
      </c>
      <c r="J20" s="12" t="str">
        <f t="shared" si="4"/>
        <v/>
      </c>
      <c r="K20" s="11"/>
    </row>
    <row r="21" spans="1:11" x14ac:dyDescent="0.25">
      <c r="A21" s="46">
        <f t="shared" si="1"/>
        <v>2700000.01</v>
      </c>
      <c r="B21" s="47">
        <v>2880000</v>
      </c>
      <c r="C21" s="48">
        <f t="shared" si="2"/>
        <v>0.15050000000000002</v>
      </c>
      <c r="D21" s="49">
        <v>0.05</v>
      </c>
      <c r="E21" s="49">
        <v>4.8999999999999998E-3</v>
      </c>
      <c r="F21" s="49">
        <v>2.47E-2</v>
      </c>
      <c r="G21" s="49">
        <v>2.1899999999999999E-2</v>
      </c>
      <c r="H21" s="49">
        <v>4.9000000000000002E-2</v>
      </c>
      <c r="I21" s="49">
        <v>0</v>
      </c>
      <c r="J21" s="12" t="str">
        <f t="shared" si="4"/>
        <v/>
      </c>
      <c r="K21" s="11"/>
    </row>
    <row r="22" spans="1:11" x14ac:dyDescent="0.25">
      <c r="A22" s="46">
        <f t="shared" si="1"/>
        <v>2880000.01</v>
      </c>
      <c r="B22" s="47">
        <v>3060000</v>
      </c>
      <c r="C22" s="48">
        <f t="shared" si="2"/>
        <v>0.155</v>
      </c>
      <c r="D22" s="49">
        <v>0.05</v>
      </c>
      <c r="E22" s="49">
        <v>5.1000000000000004E-3</v>
      </c>
      <c r="F22" s="49">
        <v>2.5100000000000001E-2</v>
      </c>
      <c r="G22" s="49">
        <v>2.2700000000000001E-2</v>
      </c>
      <c r="H22" s="49">
        <v>5.21E-2</v>
      </c>
      <c r="I22" s="49">
        <v>0</v>
      </c>
      <c r="J22" s="12" t="str">
        <f t="shared" si="4"/>
        <v/>
      </c>
      <c r="K22" s="11"/>
    </row>
    <row r="23" spans="1:11" x14ac:dyDescent="0.25">
      <c r="A23" s="46">
        <f t="shared" si="1"/>
        <v>3060000.01</v>
      </c>
      <c r="B23" s="47">
        <v>3240000</v>
      </c>
      <c r="C23" s="48">
        <f t="shared" si="2"/>
        <v>0.1595</v>
      </c>
      <c r="D23" s="49">
        <v>0.05</v>
      </c>
      <c r="E23" s="49">
        <v>5.3E-3</v>
      </c>
      <c r="F23" s="49">
        <v>2.5499999999999998E-2</v>
      </c>
      <c r="G23" s="49">
        <v>2.3599999999999999E-2</v>
      </c>
      <c r="H23" s="49">
        <v>5.5100000000000003E-2</v>
      </c>
      <c r="I23" s="49">
        <v>0</v>
      </c>
      <c r="J23" s="12" t="str">
        <f t="shared" si="4"/>
        <v/>
      </c>
    </row>
    <row r="24" spans="1:11" x14ac:dyDescent="0.25">
      <c r="A24" s="46">
        <f t="shared" si="1"/>
        <v>3240000.01</v>
      </c>
      <c r="B24" s="47">
        <v>3420000</v>
      </c>
      <c r="C24" s="48">
        <f t="shared" si="2"/>
        <v>0.16399999999999998</v>
      </c>
      <c r="D24" s="49">
        <v>0.05</v>
      </c>
      <c r="E24" s="49">
        <v>5.4999999999999997E-3</v>
      </c>
      <c r="F24" s="49">
        <v>2.5899999999999999E-2</v>
      </c>
      <c r="G24" s="49">
        <v>2.4500000000000001E-2</v>
      </c>
      <c r="H24" s="49">
        <v>5.8099999999999999E-2</v>
      </c>
      <c r="I24" s="49">
        <v>0</v>
      </c>
      <c r="J24" s="12" t="str">
        <f t="shared" si="4"/>
        <v/>
      </c>
      <c r="K24" s="13"/>
    </row>
    <row r="25" spans="1:11" x14ac:dyDescent="0.25">
      <c r="A25" s="46">
        <f>B24+0.01</f>
        <v>3420000.01</v>
      </c>
      <c r="B25" s="47">
        <v>3600000</v>
      </c>
      <c r="C25" s="48">
        <f t="shared" si="2"/>
        <v>0.16850000000000001</v>
      </c>
      <c r="D25" s="49">
        <v>0.05</v>
      </c>
      <c r="E25" s="49">
        <v>5.7000000000000002E-3</v>
      </c>
      <c r="F25" s="49">
        <v>2.63E-2</v>
      </c>
      <c r="G25" s="49">
        <v>2.53E-2</v>
      </c>
      <c r="H25" s="49">
        <v>6.1199999999999997E-2</v>
      </c>
      <c r="I25" s="49">
        <v>0</v>
      </c>
      <c r="J25" s="12" t="str">
        <f t="shared" si="4"/>
        <v/>
      </c>
      <c r="K25" s="11"/>
    </row>
    <row r="26" spans="1:11" x14ac:dyDescent="0.25">
      <c r="A26" s="50"/>
      <c r="B26" s="50"/>
      <c r="C26" s="50"/>
      <c r="D26" s="50"/>
      <c r="E26" s="50"/>
      <c r="F26" s="50"/>
      <c r="G26" s="50"/>
      <c r="H26" s="50"/>
      <c r="I26" s="50"/>
      <c r="K26" s="11"/>
    </row>
    <row r="27" spans="1:11" hidden="1" x14ac:dyDescent="0.25">
      <c r="K27" s="11"/>
    </row>
  </sheetData>
  <sheetProtection password="C10D" sheet="1" objects="1" scenarios="1" selectLockedCells="1" selectUnlockedCells="1"/>
  <mergeCells count="2">
    <mergeCell ref="A5:B5"/>
    <mergeCell ref="A4:I4"/>
  </mergeCells>
  <conditionalFormatting sqref="A6:A25">
    <cfRule type="expression" dxfId="17" priority="10">
      <formula>J6=1</formula>
    </cfRule>
  </conditionalFormatting>
  <conditionalFormatting sqref="B6:B25">
    <cfRule type="expression" dxfId="16" priority="8">
      <formula>J6=1</formula>
    </cfRule>
  </conditionalFormatting>
  <conditionalFormatting sqref="C6:C25">
    <cfRule type="expression" dxfId="15" priority="7">
      <formula>J6=1</formula>
    </cfRule>
  </conditionalFormatting>
  <conditionalFormatting sqref="D6:D25">
    <cfRule type="expression" dxfId="14" priority="6">
      <formula>J6=1</formula>
    </cfRule>
  </conditionalFormatting>
  <conditionalFormatting sqref="E6:E25">
    <cfRule type="expression" dxfId="13" priority="5">
      <formula>J6=1</formula>
    </cfRule>
  </conditionalFormatting>
  <conditionalFormatting sqref="F6:F25">
    <cfRule type="expression" dxfId="12" priority="4">
      <formula>J6=1</formula>
    </cfRule>
  </conditionalFormatting>
  <conditionalFormatting sqref="G6:G25">
    <cfRule type="expression" dxfId="11" priority="3">
      <formula>J6=1</formula>
    </cfRule>
  </conditionalFormatting>
  <conditionalFormatting sqref="H6:H25">
    <cfRule type="expression" dxfId="10" priority="2">
      <formula>J6=1</formula>
    </cfRule>
  </conditionalFormatting>
  <conditionalFormatting sqref="I6:I25">
    <cfRule type="expression" dxfId="9" priority="1">
      <formula>J6=1</formula>
    </cfRule>
  </conditionalFormatting>
  <printOptions horizontalCentered="1" verticalCentered="1"/>
  <pageMargins left="0.39370078740157483" right="0.39370078740157483" top="0.98425196850393704" bottom="0.59055118110236227"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XFC27"/>
  <sheetViews>
    <sheetView showGridLines="0" topLeftCell="A4" zoomScale="110" zoomScaleNormal="110" workbookViewId="0">
      <selection activeCell="A6" sqref="A6"/>
    </sheetView>
  </sheetViews>
  <sheetFormatPr defaultColWidth="0" defaultRowHeight="12.75" customHeight="1" zeroHeight="1" x14ac:dyDescent="0.25"/>
  <cols>
    <col min="1" max="2" width="11.7109375" style="7" bestFit="1" customWidth="1"/>
    <col min="3" max="8" width="9.28515625" style="7" customWidth="1"/>
    <col min="9" max="9" width="8.42578125" style="7" customWidth="1"/>
    <col min="10" max="10" width="9.28515625" style="7" hidden="1"/>
    <col min="11" max="11" width="12.5703125" style="7" hidden="1"/>
    <col min="12" max="16381" width="9.28515625" style="7" hidden="1"/>
    <col min="16382" max="16382" width="5" style="7" hidden="1"/>
    <col min="16383" max="16383" width="3.140625" style="7" hidden="1"/>
    <col min="16384" max="16384" width="7.28515625" style="7" hidden="1"/>
  </cols>
  <sheetData>
    <row r="1" spans="1:17" hidden="1" x14ac:dyDescent="0.25"/>
    <row r="2" spans="1:17" hidden="1" x14ac:dyDescent="0.25">
      <c r="K2" s="8">
        <f>Porc!G3*12</f>
        <v>0</v>
      </c>
      <c r="L2" s="9">
        <f t="shared" ref="L2:Q2" si="0">LOOKUP($K$2,$A$6:$B$25,D6:D25)</f>
        <v>0.02</v>
      </c>
      <c r="M2" s="9">
        <f t="shared" si="0"/>
        <v>0</v>
      </c>
      <c r="N2" s="9">
        <f t="shared" si="0"/>
        <v>1.2800000000000001E-2</v>
      </c>
      <c r="O2" s="9">
        <f t="shared" si="0"/>
        <v>1.2200000000000001E-2</v>
      </c>
      <c r="P2" s="9">
        <f t="shared" si="0"/>
        <v>0</v>
      </c>
      <c r="Q2" s="9">
        <f t="shared" si="0"/>
        <v>0</v>
      </c>
    </row>
    <row r="3" spans="1:17" hidden="1" x14ac:dyDescent="0.25">
      <c r="J3" s="10"/>
      <c r="L3" s="11">
        <f>Porc!$G$3*L2</f>
        <v>0</v>
      </c>
      <c r="M3" s="11">
        <f>Porc!$G$3*M2</f>
        <v>0</v>
      </c>
      <c r="N3" s="11">
        <f>Porc!$G$3*N2</f>
        <v>0</v>
      </c>
      <c r="O3" s="11">
        <f>Porc!$G$3*O2</f>
        <v>0</v>
      </c>
      <c r="P3" s="11">
        <f>Porc!$G$3*P2</f>
        <v>0</v>
      </c>
      <c r="Q3" s="11">
        <f>Porc!$G$3*Q2</f>
        <v>0</v>
      </c>
    </row>
    <row r="4" spans="1:17" ht="36" customHeight="1" x14ac:dyDescent="0.25">
      <c r="A4" s="116" t="s">
        <v>9</v>
      </c>
      <c r="B4" s="117"/>
      <c r="C4" s="117"/>
      <c r="D4" s="117"/>
      <c r="E4" s="117"/>
      <c r="F4" s="117"/>
      <c r="G4" s="117"/>
      <c r="H4" s="117"/>
      <c r="I4" s="117"/>
      <c r="J4" s="10"/>
    </row>
    <row r="5" spans="1:17" ht="23.25" customHeight="1" thickBot="1" x14ac:dyDescent="0.3">
      <c r="A5" s="114" t="s">
        <v>8</v>
      </c>
      <c r="B5" s="115"/>
      <c r="C5" s="51" t="s">
        <v>0</v>
      </c>
      <c r="D5" s="52" t="s">
        <v>4</v>
      </c>
      <c r="E5" s="52" t="s">
        <v>5</v>
      </c>
      <c r="F5" s="52" t="s">
        <v>3</v>
      </c>
      <c r="G5" s="52" t="s">
        <v>2</v>
      </c>
      <c r="H5" s="52" t="s">
        <v>1</v>
      </c>
      <c r="I5" s="53" t="s">
        <v>7</v>
      </c>
      <c r="J5" s="10"/>
    </row>
    <row r="6" spans="1:17" x14ac:dyDescent="0.25">
      <c r="A6" s="46">
        <v>0</v>
      </c>
      <c r="B6" s="47">
        <v>180000</v>
      </c>
      <c r="C6" s="48">
        <f>SUM(D6:I6)</f>
        <v>4.5000000000000005E-2</v>
      </c>
      <c r="D6" s="49">
        <v>0.02</v>
      </c>
      <c r="E6" s="49">
        <v>0</v>
      </c>
      <c r="F6" s="49">
        <v>1.2800000000000001E-2</v>
      </c>
      <c r="G6" s="49">
        <v>1.2200000000000001E-2</v>
      </c>
      <c r="H6" s="49">
        <v>0</v>
      </c>
      <c r="I6" s="49">
        <v>0</v>
      </c>
      <c r="J6" s="12">
        <f>IF(AND($K$2&gt;=A6,$K$2&lt;B6),1,"")</f>
        <v>1</v>
      </c>
      <c r="K6" s="8"/>
    </row>
    <row r="7" spans="1:17" x14ac:dyDescent="0.25">
      <c r="A7" s="46">
        <f t="shared" ref="A7:A24" si="1">B6+0.01</f>
        <v>180000.01</v>
      </c>
      <c r="B7" s="47">
        <v>360000</v>
      </c>
      <c r="C7" s="48">
        <f t="shared" ref="C7:C25" si="2">SUM(D7:I7)</f>
        <v>6.54E-2</v>
      </c>
      <c r="D7" s="49">
        <v>2.7900000000000001E-2</v>
      </c>
      <c r="E7" s="49">
        <v>0</v>
      </c>
      <c r="F7" s="49">
        <v>1.9099999999999999E-2</v>
      </c>
      <c r="G7" s="49">
        <v>1.84E-2</v>
      </c>
      <c r="H7" s="49">
        <v>0</v>
      </c>
      <c r="I7" s="49">
        <v>0</v>
      </c>
      <c r="J7" s="12" t="str">
        <f>IF(AND($K$2&gt;=A7,$K$2&lt;B7),1,"")</f>
        <v/>
      </c>
    </row>
    <row r="8" spans="1:17" x14ac:dyDescent="0.25">
      <c r="A8" s="46">
        <f t="shared" si="1"/>
        <v>360000.01</v>
      </c>
      <c r="B8" s="47">
        <v>540000</v>
      </c>
      <c r="C8" s="48">
        <f t="shared" si="2"/>
        <v>7.7000000000000013E-2</v>
      </c>
      <c r="D8" s="49">
        <v>3.5000000000000003E-2</v>
      </c>
      <c r="E8" s="49">
        <v>2.3999999999999998E-3</v>
      </c>
      <c r="F8" s="49">
        <v>1.95E-2</v>
      </c>
      <c r="G8" s="49">
        <v>1.8499999999999999E-2</v>
      </c>
      <c r="H8" s="49">
        <v>1.6000000000000001E-3</v>
      </c>
      <c r="I8" s="49">
        <v>0</v>
      </c>
      <c r="J8" s="12" t="str">
        <f t="shared" ref="J8:J25" si="3">IF(AND($K$2&gt;=A8,$K$2&lt;B8),1,"")</f>
        <v/>
      </c>
    </row>
    <row r="9" spans="1:17" x14ac:dyDescent="0.25">
      <c r="A9" s="46">
        <f t="shared" si="1"/>
        <v>540000.01</v>
      </c>
      <c r="B9" s="47">
        <v>720000</v>
      </c>
      <c r="C9" s="48">
        <f t="shared" si="2"/>
        <v>8.4899999999999989E-2</v>
      </c>
      <c r="D9" s="49">
        <v>3.8399999999999997E-2</v>
      </c>
      <c r="E9" s="49">
        <v>2.7000000000000001E-3</v>
      </c>
      <c r="F9" s="49">
        <v>1.9900000000000001E-2</v>
      </c>
      <c r="G9" s="49">
        <v>1.8700000000000001E-2</v>
      </c>
      <c r="H9" s="49">
        <v>5.1999999999999998E-3</v>
      </c>
      <c r="I9" s="49">
        <v>0</v>
      </c>
      <c r="J9" s="12" t="str">
        <f t="shared" si="3"/>
        <v/>
      </c>
    </row>
    <row r="10" spans="1:17" x14ac:dyDescent="0.25">
      <c r="A10" s="46">
        <f t="shared" si="1"/>
        <v>720000.01</v>
      </c>
      <c r="B10" s="47">
        <v>900000</v>
      </c>
      <c r="C10" s="48">
        <f t="shared" si="2"/>
        <v>8.9700000000000002E-2</v>
      </c>
      <c r="D10" s="49">
        <v>3.8699999999999998E-2</v>
      </c>
      <c r="E10" s="49">
        <v>2.8999999999999998E-3</v>
      </c>
      <c r="F10" s="49">
        <v>2.0299999999999999E-2</v>
      </c>
      <c r="G10" s="49">
        <v>1.89E-2</v>
      </c>
      <c r="H10" s="49">
        <v>8.8999999999999999E-3</v>
      </c>
      <c r="I10" s="49">
        <v>0</v>
      </c>
      <c r="J10" s="12" t="str">
        <f t="shared" si="3"/>
        <v/>
      </c>
    </row>
    <row r="11" spans="1:17" x14ac:dyDescent="0.25">
      <c r="A11" s="46">
        <f t="shared" si="1"/>
        <v>900000.01</v>
      </c>
      <c r="B11" s="47">
        <v>1080000</v>
      </c>
      <c r="C11" s="48">
        <f t="shared" si="2"/>
        <v>9.7799999999999984E-2</v>
      </c>
      <c r="D11" s="49">
        <v>4.2299999999999997E-2</v>
      </c>
      <c r="E11" s="49">
        <v>3.2000000000000002E-3</v>
      </c>
      <c r="F11" s="49">
        <v>2.07E-2</v>
      </c>
      <c r="G11" s="49">
        <v>1.9099999999999999E-2</v>
      </c>
      <c r="H11" s="49">
        <v>1.2500000000000001E-2</v>
      </c>
      <c r="I11" s="49">
        <v>0</v>
      </c>
      <c r="J11" s="12" t="str">
        <f t="shared" si="3"/>
        <v/>
      </c>
      <c r="N11" s="13"/>
    </row>
    <row r="12" spans="1:17" x14ac:dyDescent="0.25">
      <c r="A12" s="46">
        <f t="shared" si="1"/>
        <v>1080000.01</v>
      </c>
      <c r="B12" s="47">
        <v>1260000</v>
      </c>
      <c r="C12" s="48">
        <f t="shared" si="2"/>
        <v>0.1026</v>
      </c>
      <c r="D12" s="49">
        <v>4.2599999999999999E-2</v>
      </c>
      <c r="E12" s="49">
        <v>3.3999999999999998E-3</v>
      </c>
      <c r="F12" s="49">
        <v>2.1100000000000001E-2</v>
      </c>
      <c r="G12" s="49">
        <v>1.9300000000000001E-2</v>
      </c>
      <c r="H12" s="49">
        <v>1.6199999999999999E-2</v>
      </c>
      <c r="I12" s="49">
        <v>0</v>
      </c>
      <c r="J12" s="12" t="str">
        <f t="shared" si="3"/>
        <v/>
      </c>
    </row>
    <row r="13" spans="1:17" x14ac:dyDescent="0.25">
      <c r="A13" s="46">
        <f t="shared" si="1"/>
        <v>1260000.01</v>
      </c>
      <c r="B13" s="47">
        <v>1440000</v>
      </c>
      <c r="C13" s="48">
        <f t="shared" si="2"/>
        <v>0.1076</v>
      </c>
      <c r="D13" s="49">
        <v>4.3099999999999999E-2</v>
      </c>
      <c r="E13" s="49">
        <v>3.5000000000000001E-3</v>
      </c>
      <c r="F13" s="49">
        <v>2.1499999999999998E-2</v>
      </c>
      <c r="G13" s="49">
        <v>1.95E-2</v>
      </c>
      <c r="H13" s="49">
        <v>0.02</v>
      </c>
      <c r="I13" s="49">
        <v>0</v>
      </c>
      <c r="J13" s="12" t="str">
        <f t="shared" si="3"/>
        <v/>
      </c>
    </row>
    <row r="14" spans="1:17" x14ac:dyDescent="0.25">
      <c r="A14" s="46">
        <f t="shared" si="1"/>
        <v>1440000.01</v>
      </c>
      <c r="B14" s="47">
        <v>1620000</v>
      </c>
      <c r="C14" s="48">
        <f t="shared" si="2"/>
        <v>0.11509999999999999</v>
      </c>
      <c r="D14" s="49">
        <v>4.6100000000000002E-2</v>
      </c>
      <c r="E14" s="49">
        <v>3.7000000000000002E-3</v>
      </c>
      <c r="F14" s="49">
        <v>2.1899999999999999E-2</v>
      </c>
      <c r="G14" s="49">
        <v>1.9699999999999999E-2</v>
      </c>
      <c r="H14" s="49">
        <v>2.3699999999999999E-2</v>
      </c>
      <c r="I14" s="49">
        <v>0</v>
      </c>
      <c r="J14" s="12" t="str">
        <f t="shared" si="3"/>
        <v/>
      </c>
    </row>
    <row r="15" spans="1:17" x14ac:dyDescent="0.25">
      <c r="A15" s="46">
        <f t="shared" si="1"/>
        <v>1620000.01</v>
      </c>
      <c r="B15" s="47">
        <v>1800000</v>
      </c>
      <c r="C15" s="48">
        <f t="shared" si="2"/>
        <v>0.12</v>
      </c>
      <c r="D15" s="49">
        <v>4.65E-2</v>
      </c>
      <c r="E15" s="49">
        <v>3.8E-3</v>
      </c>
      <c r="F15" s="49">
        <v>2.23E-2</v>
      </c>
      <c r="G15" s="49">
        <v>0.02</v>
      </c>
      <c r="H15" s="49">
        <v>2.7400000000000001E-2</v>
      </c>
      <c r="I15" s="49">
        <v>0</v>
      </c>
      <c r="J15" s="12" t="str">
        <f t="shared" si="3"/>
        <v/>
      </c>
    </row>
    <row r="16" spans="1:17" x14ac:dyDescent="0.25">
      <c r="A16" s="46">
        <f t="shared" si="1"/>
        <v>1800000.01</v>
      </c>
      <c r="B16" s="47">
        <v>1980000</v>
      </c>
      <c r="C16" s="48">
        <f t="shared" si="2"/>
        <v>0.128</v>
      </c>
      <c r="D16" s="49">
        <v>0.05</v>
      </c>
      <c r="E16" s="49">
        <v>4.0000000000000001E-3</v>
      </c>
      <c r="F16" s="49">
        <v>2.2700000000000001E-2</v>
      </c>
      <c r="G16" s="49">
        <v>2.01E-2</v>
      </c>
      <c r="H16" s="49">
        <v>3.1199999999999999E-2</v>
      </c>
      <c r="I16" s="49">
        <v>0</v>
      </c>
      <c r="J16" s="12" t="str">
        <f t="shared" si="3"/>
        <v/>
      </c>
    </row>
    <row r="17" spans="1:11" x14ac:dyDescent="0.25">
      <c r="A17" s="46">
        <f t="shared" si="1"/>
        <v>1980000.01</v>
      </c>
      <c r="B17" s="47">
        <v>2160000</v>
      </c>
      <c r="C17" s="48">
        <f t="shared" si="2"/>
        <v>0.13250000000000001</v>
      </c>
      <c r="D17" s="49">
        <v>0.05</v>
      </c>
      <c r="E17" s="49">
        <v>4.1999999999999997E-3</v>
      </c>
      <c r="F17" s="49">
        <v>2.3099999999999999E-2</v>
      </c>
      <c r="G17" s="49">
        <v>2.0299999999999999E-2</v>
      </c>
      <c r="H17" s="49">
        <v>3.49E-2</v>
      </c>
      <c r="I17" s="49">
        <v>0</v>
      </c>
      <c r="J17" s="12" t="str">
        <f t="shared" si="3"/>
        <v/>
      </c>
    </row>
    <row r="18" spans="1:11" x14ac:dyDescent="0.25">
      <c r="A18" s="46">
        <f t="shared" si="1"/>
        <v>2160000.0099999998</v>
      </c>
      <c r="B18" s="47">
        <v>2340000</v>
      </c>
      <c r="C18" s="48">
        <f t="shared" si="2"/>
        <v>0.13700000000000001</v>
      </c>
      <c r="D18" s="49">
        <v>0.05</v>
      </c>
      <c r="E18" s="49">
        <v>4.4000000000000003E-3</v>
      </c>
      <c r="F18" s="49">
        <v>2.35E-2</v>
      </c>
      <c r="G18" s="49">
        <v>2.0500000000000001E-2</v>
      </c>
      <c r="H18" s="49">
        <v>3.8600000000000002E-2</v>
      </c>
      <c r="I18" s="49">
        <v>0</v>
      </c>
      <c r="J18" s="12" t="str">
        <f t="shared" si="3"/>
        <v/>
      </c>
    </row>
    <row r="19" spans="1:11" x14ac:dyDescent="0.25">
      <c r="A19" s="46">
        <f t="shared" si="1"/>
        <v>2340000.0099999998</v>
      </c>
      <c r="B19" s="47">
        <v>2520000</v>
      </c>
      <c r="C19" s="48">
        <f t="shared" si="2"/>
        <v>0.14149999999999999</v>
      </c>
      <c r="D19" s="49">
        <v>0.05</v>
      </c>
      <c r="E19" s="49">
        <v>4.5999999999999999E-3</v>
      </c>
      <c r="F19" s="49">
        <v>2.3900000000000001E-2</v>
      </c>
      <c r="G19" s="49">
        <v>2.07E-2</v>
      </c>
      <c r="H19" s="49">
        <v>4.2299999999999997E-2</v>
      </c>
      <c r="I19" s="49">
        <v>0</v>
      </c>
      <c r="J19" s="12" t="str">
        <f t="shared" si="3"/>
        <v/>
      </c>
      <c r="K19" s="13"/>
    </row>
    <row r="20" spans="1:11" x14ac:dyDescent="0.25">
      <c r="A20" s="46">
        <f t="shared" si="1"/>
        <v>2520000.0099999998</v>
      </c>
      <c r="B20" s="47">
        <v>2700000</v>
      </c>
      <c r="C20" s="48">
        <f t="shared" si="2"/>
        <v>0.14600000000000002</v>
      </c>
      <c r="D20" s="49">
        <v>0.05</v>
      </c>
      <c r="E20" s="49">
        <v>4.7000000000000002E-3</v>
      </c>
      <c r="F20" s="49">
        <v>2.4299999999999999E-2</v>
      </c>
      <c r="G20" s="49">
        <v>2.1000000000000001E-2</v>
      </c>
      <c r="H20" s="49">
        <v>4.5999999999999999E-2</v>
      </c>
      <c r="I20" s="49">
        <v>0</v>
      </c>
      <c r="J20" s="12" t="str">
        <f t="shared" si="3"/>
        <v/>
      </c>
      <c r="K20" s="11"/>
    </row>
    <row r="21" spans="1:11" x14ac:dyDescent="0.25">
      <c r="A21" s="46">
        <f t="shared" si="1"/>
        <v>2700000.01</v>
      </c>
      <c r="B21" s="47">
        <v>2880000</v>
      </c>
      <c r="C21" s="48">
        <f t="shared" si="2"/>
        <v>0.15050000000000002</v>
      </c>
      <c r="D21" s="49">
        <v>0.05</v>
      </c>
      <c r="E21" s="49">
        <v>4.8999999999999998E-3</v>
      </c>
      <c r="F21" s="49">
        <v>2.47E-2</v>
      </c>
      <c r="G21" s="49">
        <v>2.1899999999999999E-2</v>
      </c>
      <c r="H21" s="49">
        <v>4.9000000000000002E-2</v>
      </c>
      <c r="I21" s="49">
        <v>0</v>
      </c>
      <c r="J21" s="12" t="str">
        <f t="shared" si="3"/>
        <v/>
      </c>
      <c r="K21" s="11"/>
    </row>
    <row r="22" spans="1:11" x14ac:dyDescent="0.25">
      <c r="A22" s="46">
        <f t="shared" si="1"/>
        <v>2880000.01</v>
      </c>
      <c r="B22" s="47">
        <v>3060000</v>
      </c>
      <c r="C22" s="48">
        <f t="shared" si="2"/>
        <v>0.155</v>
      </c>
      <c r="D22" s="49">
        <v>0.05</v>
      </c>
      <c r="E22" s="49">
        <v>5.1000000000000004E-3</v>
      </c>
      <c r="F22" s="49">
        <v>2.5100000000000001E-2</v>
      </c>
      <c r="G22" s="49">
        <v>2.2700000000000001E-2</v>
      </c>
      <c r="H22" s="49">
        <v>5.21E-2</v>
      </c>
      <c r="I22" s="49">
        <v>0</v>
      </c>
      <c r="J22" s="12" t="str">
        <f t="shared" si="3"/>
        <v/>
      </c>
      <c r="K22" s="11"/>
    </row>
    <row r="23" spans="1:11" x14ac:dyDescent="0.25">
      <c r="A23" s="46">
        <f t="shared" si="1"/>
        <v>3060000.01</v>
      </c>
      <c r="B23" s="47">
        <v>3240000</v>
      </c>
      <c r="C23" s="48">
        <f t="shared" si="2"/>
        <v>0.1595</v>
      </c>
      <c r="D23" s="49">
        <v>0.05</v>
      </c>
      <c r="E23" s="49">
        <v>5.3E-3</v>
      </c>
      <c r="F23" s="49">
        <v>2.5499999999999998E-2</v>
      </c>
      <c r="G23" s="49">
        <v>2.3599999999999999E-2</v>
      </c>
      <c r="H23" s="49">
        <v>5.5100000000000003E-2</v>
      </c>
      <c r="I23" s="49">
        <v>0</v>
      </c>
      <c r="J23" s="12" t="str">
        <f t="shared" si="3"/>
        <v/>
      </c>
    </row>
    <row r="24" spans="1:11" x14ac:dyDescent="0.25">
      <c r="A24" s="46">
        <f t="shared" si="1"/>
        <v>3240000.01</v>
      </c>
      <c r="B24" s="47">
        <v>3420000</v>
      </c>
      <c r="C24" s="48">
        <f t="shared" si="2"/>
        <v>0.16399999999999998</v>
      </c>
      <c r="D24" s="49">
        <v>0.05</v>
      </c>
      <c r="E24" s="49">
        <v>5.4999999999999997E-3</v>
      </c>
      <c r="F24" s="49">
        <v>2.5899999999999999E-2</v>
      </c>
      <c r="G24" s="49">
        <v>2.4500000000000001E-2</v>
      </c>
      <c r="H24" s="49">
        <v>5.8099999999999999E-2</v>
      </c>
      <c r="I24" s="49">
        <v>0</v>
      </c>
      <c r="J24" s="12" t="str">
        <f t="shared" si="3"/>
        <v/>
      </c>
      <c r="K24" s="13"/>
    </row>
    <row r="25" spans="1:11" x14ac:dyDescent="0.25">
      <c r="A25" s="46">
        <f>B24+0.01</f>
        <v>3420000.01</v>
      </c>
      <c r="B25" s="47">
        <v>3600000</v>
      </c>
      <c r="C25" s="48">
        <f t="shared" si="2"/>
        <v>0.16850000000000001</v>
      </c>
      <c r="D25" s="49">
        <v>0.05</v>
      </c>
      <c r="E25" s="49">
        <v>5.7000000000000002E-3</v>
      </c>
      <c r="F25" s="49">
        <v>2.63E-2</v>
      </c>
      <c r="G25" s="49">
        <v>2.53E-2</v>
      </c>
      <c r="H25" s="49">
        <v>6.1199999999999997E-2</v>
      </c>
      <c r="I25" s="49">
        <v>0</v>
      </c>
      <c r="J25" s="12" t="str">
        <f t="shared" si="3"/>
        <v/>
      </c>
      <c r="K25" s="11"/>
    </row>
    <row r="26" spans="1:11" x14ac:dyDescent="0.25">
      <c r="A26" s="50"/>
      <c r="B26" s="50"/>
      <c r="C26" s="50"/>
      <c r="D26" s="50"/>
      <c r="E26" s="50"/>
      <c r="F26" s="50"/>
      <c r="G26" s="50"/>
      <c r="H26" s="50"/>
      <c r="I26" s="50"/>
      <c r="K26" s="11"/>
    </row>
    <row r="27" spans="1:11" hidden="1" x14ac:dyDescent="0.25">
      <c r="K27" s="11"/>
    </row>
  </sheetData>
  <sheetProtection password="C10D" sheet="1" objects="1" scenarios="1" selectLockedCells="1" selectUnlockedCells="1"/>
  <mergeCells count="2">
    <mergeCell ref="A4:I4"/>
    <mergeCell ref="A5:B5"/>
  </mergeCells>
  <conditionalFormatting sqref="A6:A25">
    <cfRule type="expression" dxfId="8" priority="9">
      <formula>J6=1</formula>
    </cfRule>
  </conditionalFormatting>
  <conditionalFormatting sqref="B6:B25">
    <cfRule type="expression" dxfId="7" priority="8">
      <formula>J6=1</formula>
    </cfRule>
  </conditionalFormatting>
  <conditionalFormatting sqref="C6:C25">
    <cfRule type="expression" dxfId="6" priority="7">
      <formula>J6=1</formula>
    </cfRule>
  </conditionalFormatting>
  <conditionalFormatting sqref="D6:D25">
    <cfRule type="expression" dxfId="5" priority="6">
      <formula>J6=1</formula>
    </cfRule>
  </conditionalFormatting>
  <conditionalFormatting sqref="E6:E25">
    <cfRule type="expression" dxfId="4" priority="5">
      <formula>J6=1</formula>
    </cfRule>
  </conditionalFormatting>
  <conditionalFormatting sqref="F6:F25">
    <cfRule type="expression" dxfId="3" priority="4">
      <formula>J6=1</formula>
    </cfRule>
  </conditionalFormatting>
  <conditionalFormatting sqref="G6:G25">
    <cfRule type="expression" dxfId="2" priority="3">
      <formula>J6=1</formula>
    </cfRule>
  </conditionalFormatting>
  <conditionalFormatting sqref="H6:H25">
    <cfRule type="expression" dxfId="1" priority="2">
      <formula>J6=1</formula>
    </cfRule>
  </conditionalFormatting>
  <conditionalFormatting sqref="I6:I25">
    <cfRule type="expression" dxfId="0" priority="1">
      <formula>J6=1</formula>
    </cfRule>
  </conditionalFormatting>
  <printOptions horizontalCentered="1" verticalCentered="1"/>
  <pageMargins left="0.39370078740157483" right="0.39370078740157483" top="0.98425196850393704" bottom="0.59055118110236227"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N24"/>
  <sheetViews>
    <sheetView showGridLines="0" showRowColHeaders="0" zoomScale="110" zoomScaleNormal="110" workbookViewId="0">
      <selection activeCell="G15" sqref="G15"/>
    </sheetView>
  </sheetViews>
  <sheetFormatPr defaultColWidth="0" defaultRowHeight="14.25" customHeight="1" zeroHeight="1" x14ac:dyDescent="0.25"/>
  <cols>
    <col min="1" max="14" width="9.140625" style="54" customWidth="1"/>
    <col min="15" max="16384" width="9.140625" style="54" hidden="1"/>
  </cols>
  <sheetData>
    <row r="1" spans="1:14" ht="20.25" customHeight="1" x14ac:dyDescent="0.25"/>
    <row r="2" spans="1:14" ht="20.25" customHeight="1" x14ac:dyDescent="0.25"/>
    <row r="3" spans="1:14" x14ac:dyDescent="0.25"/>
    <row r="4" spans="1:14" x14ac:dyDescent="0.25"/>
    <row r="5" spans="1:14" x14ac:dyDescent="0.25"/>
    <row r="6" spans="1:14" ht="14.25" customHeight="1" x14ac:dyDescent="0.25">
      <c r="B6" s="118" t="s">
        <v>31</v>
      </c>
      <c r="C6" s="118"/>
      <c r="D6" s="118"/>
      <c r="E6" s="118"/>
      <c r="F6" s="118"/>
      <c r="G6" s="118"/>
      <c r="H6" s="118"/>
      <c r="I6" s="118"/>
      <c r="J6" s="118"/>
      <c r="K6" s="118"/>
      <c r="L6" s="118"/>
      <c r="M6" s="84"/>
      <c r="N6" s="84"/>
    </row>
    <row r="7" spans="1:14" x14ac:dyDescent="0.25">
      <c r="A7" s="84"/>
      <c r="B7" s="118"/>
      <c r="C7" s="118"/>
      <c r="D7" s="118"/>
      <c r="E7" s="118"/>
      <c r="F7" s="118"/>
      <c r="G7" s="118"/>
      <c r="H7" s="118"/>
      <c r="I7" s="118"/>
      <c r="J7" s="118"/>
      <c r="K7" s="118"/>
      <c r="L7" s="118"/>
      <c r="M7" s="84"/>
      <c r="N7" s="84"/>
    </row>
    <row r="8" spans="1:14" x14ac:dyDescent="0.25">
      <c r="B8" s="118"/>
      <c r="C8" s="118"/>
      <c r="D8" s="118"/>
      <c r="E8" s="118"/>
      <c r="F8" s="118"/>
      <c r="G8" s="118"/>
      <c r="H8" s="118"/>
      <c r="I8" s="118"/>
      <c r="J8" s="118"/>
      <c r="K8" s="118"/>
      <c r="L8" s="118"/>
    </row>
    <row r="9" spans="1:14" x14ac:dyDescent="0.25">
      <c r="B9" s="118"/>
      <c r="C9" s="118"/>
      <c r="D9" s="118"/>
      <c r="E9" s="118"/>
      <c r="F9" s="118"/>
      <c r="G9" s="118"/>
      <c r="H9" s="118"/>
      <c r="I9" s="118"/>
      <c r="J9" s="118"/>
      <c r="K9" s="118"/>
      <c r="L9" s="118"/>
    </row>
    <row r="10" spans="1:14" ht="15" x14ac:dyDescent="0.25">
      <c r="A10" s="120"/>
      <c r="B10" s="120"/>
      <c r="C10" s="120"/>
      <c r="D10" s="120"/>
      <c r="E10" s="120"/>
      <c r="F10" s="120"/>
      <c r="G10" s="120"/>
      <c r="H10" s="120"/>
      <c r="I10" s="120"/>
      <c r="J10" s="120"/>
    </row>
    <row r="11" spans="1:14" ht="14.25" customHeight="1" x14ac:dyDescent="0.25">
      <c r="A11" s="122"/>
      <c r="B11" s="123"/>
      <c r="C11" s="123"/>
      <c r="D11" s="123"/>
      <c r="E11" s="123"/>
      <c r="F11" s="124"/>
      <c r="G11" s="124"/>
      <c r="H11" s="124"/>
      <c r="I11" s="124"/>
      <c r="J11" s="124"/>
    </row>
    <row r="12" spans="1:14" ht="14.25" customHeight="1" x14ac:dyDescent="0.25"/>
    <row r="13" spans="1:14" ht="14.25" customHeight="1" x14ac:dyDescent="0.25">
      <c r="A13" s="121"/>
      <c r="B13" s="121"/>
      <c r="C13" s="121"/>
      <c r="D13" s="121"/>
      <c r="E13" s="121"/>
      <c r="F13" s="121"/>
      <c r="G13" s="121"/>
      <c r="H13" s="121"/>
      <c r="I13" s="121"/>
      <c r="J13" s="121"/>
    </row>
    <row r="14" spans="1:14" ht="14.25" customHeight="1" x14ac:dyDescent="0.25">
      <c r="A14" s="119"/>
      <c r="B14" s="119"/>
      <c r="C14" s="119"/>
      <c r="D14" s="119"/>
      <c r="E14" s="119"/>
      <c r="F14" s="119"/>
      <c r="G14" s="119"/>
      <c r="H14" s="119"/>
      <c r="I14" s="119"/>
      <c r="J14" s="119"/>
    </row>
    <row r="15" spans="1:14" ht="14.25" customHeight="1" x14ac:dyDescent="0.25"/>
    <row r="16" spans="1:14"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sheetData>
  <sheetProtection password="C10D" sheet="1" objects="1" scenarios="1" selectLockedCells="1" selectUnlockedCells="1"/>
  <mergeCells count="5">
    <mergeCell ref="B6:L9"/>
    <mergeCell ref="A14:J14"/>
    <mergeCell ref="A10:J10"/>
    <mergeCell ref="A13:J13"/>
    <mergeCell ref="A11:J11"/>
  </mergeCells>
  <pageMargins left="0.511811024" right="0.511811024" top="0.78740157499999996" bottom="0.78740157499999996" header="0.31496062000000002" footer="0.31496062000000002"/>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K27"/>
  <sheetViews>
    <sheetView workbookViewId="0">
      <selection activeCell="E8" sqref="E8"/>
    </sheetView>
  </sheetViews>
  <sheetFormatPr defaultRowHeight="15" x14ac:dyDescent="0.25"/>
  <cols>
    <col min="1" max="1" width="9.140625" style="2"/>
    <col min="2" max="2" width="13.5703125" style="2" bestFit="1" customWidth="1"/>
    <col min="3" max="3" width="10.7109375" style="2" bestFit="1" customWidth="1"/>
    <col min="4" max="5" width="9.140625" style="2"/>
    <col min="6" max="6" width="10.140625" style="2" bestFit="1" customWidth="1"/>
    <col min="7" max="7" width="11.28515625" style="2" bestFit="1" customWidth="1"/>
    <col min="8" max="9" width="10.140625" style="2" bestFit="1" customWidth="1"/>
    <col min="10" max="11" width="12" style="2" bestFit="1" customWidth="1"/>
    <col min="12" max="16384" width="9.140625" style="2"/>
  </cols>
  <sheetData>
    <row r="1" spans="1:11" x14ac:dyDescent="0.25">
      <c r="A1" s="1"/>
      <c r="B1" s="1"/>
      <c r="C1" s="1"/>
      <c r="D1" s="1"/>
      <c r="E1" s="1"/>
      <c r="F1" s="1"/>
      <c r="G1" s="1"/>
    </row>
    <row r="2" spans="1:11" x14ac:dyDescent="0.25">
      <c r="A2" s="1"/>
      <c r="B2" s="3" t="s">
        <v>14</v>
      </c>
      <c r="C2" s="4" t="str">
        <f>IF((OR(Soc!G3&lt;0,Soc!G4&lt;0,Soc!G5&lt;0)),"",(IF(OR(C3=0,C3=""),"",(C3*12))))</f>
        <v/>
      </c>
      <c r="D2" s="1"/>
      <c r="E2" s="1"/>
      <c r="F2" s="1"/>
      <c r="G2" s="1"/>
    </row>
    <row r="3" spans="1:11" x14ac:dyDescent="0.25">
      <c r="A3" s="1"/>
      <c r="B3" s="3" t="s">
        <v>13</v>
      </c>
      <c r="C3" s="4" t="str">
        <f>IF((OR(Soc!G3&lt;0,Soc!G4&lt;0,Soc!G5&lt;0)),"",(IF((IF(B8&lt;0,-B8,B8))=0,"",(IF(B8&lt;0,-B8,B8)))))</f>
        <v/>
      </c>
      <c r="D3" s="1"/>
      <c r="E3" s="1"/>
      <c r="F3" s="37">
        <f>Soc!G4</f>
        <v>0</v>
      </c>
      <c r="G3" s="1"/>
      <c r="I3" s="59">
        <f>F3*13.33*1.12</f>
        <v>0</v>
      </c>
      <c r="J3" s="59">
        <f>I3/12</f>
        <v>0</v>
      </c>
      <c r="K3" s="59" t="e">
        <f>J3/F3</f>
        <v>#DIV/0!</v>
      </c>
    </row>
    <row r="4" spans="1:11" x14ac:dyDescent="0.25">
      <c r="A4" s="1"/>
      <c r="B4" s="1"/>
      <c r="C4" s="1"/>
      <c r="D4" s="1"/>
      <c r="E4" s="1"/>
      <c r="F4" s="37">
        <f>J3</f>
        <v>0</v>
      </c>
      <c r="G4" s="1"/>
    </row>
    <row r="5" spans="1:11" x14ac:dyDescent="0.25">
      <c r="A5" s="1"/>
      <c r="B5" s="1"/>
      <c r="C5" s="1"/>
      <c r="D5" s="1"/>
      <c r="E5" s="1"/>
      <c r="G5" s="1"/>
    </row>
    <row r="6" spans="1:11" x14ac:dyDescent="0.25">
      <c r="A6" s="1"/>
      <c r="B6" s="1"/>
      <c r="C6" s="1"/>
      <c r="D6" s="1"/>
      <c r="E6" s="1"/>
      <c r="F6" s="1"/>
      <c r="G6" s="1"/>
    </row>
    <row r="7" spans="1:11" x14ac:dyDescent="0.25">
      <c r="A7" s="1"/>
      <c r="B7" s="1"/>
      <c r="C7" s="1"/>
      <c r="D7" s="1"/>
      <c r="E7" s="1"/>
      <c r="F7" s="1"/>
      <c r="G7" s="1"/>
    </row>
    <row r="8" spans="1:11" x14ac:dyDescent="0.25">
      <c r="A8" s="1"/>
      <c r="B8" s="5">
        <f>(IF(Soc!I45=0,Soc!K42,(Soc!E37-Soc!E38)))</f>
        <v>0</v>
      </c>
      <c r="C8" s="1"/>
      <c r="D8" s="1"/>
      <c r="E8" s="1"/>
      <c r="F8" s="1"/>
      <c r="G8" s="1"/>
    </row>
    <row r="9" spans="1:11" x14ac:dyDescent="0.25">
      <c r="A9" s="1"/>
      <c r="B9" s="6"/>
      <c r="C9" s="6"/>
      <c r="D9" s="6"/>
      <c r="E9" s="1"/>
      <c r="F9" s="1"/>
      <c r="G9" s="1"/>
    </row>
    <row r="10" spans="1:11" x14ac:dyDescent="0.25">
      <c r="A10" s="1"/>
      <c r="B10" s="1">
        <f>(IF(Soc!I44=0,Soc!K41,(Soc!E36-Soc!E37)))</f>
        <v>0</v>
      </c>
      <c r="C10" s="6"/>
      <c r="D10" s="6"/>
      <c r="E10" s="1"/>
      <c r="F10" s="1"/>
      <c r="G10" s="1"/>
    </row>
    <row r="11" spans="1:11" x14ac:dyDescent="0.25">
      <c r="A11" s="1"/>
      <c r="E11" s="1"/>
      <c r="F11" s="1" t="s">
        <v>20</v>
      </c>
      <c r="G11" s="59">
        <v>360</v>
      </c>
      <c r="H11" s="59">
        <f>Soc!G3*Soc!F42</f>
        <v>0</v>
      </c>
      <c r="I11" s="60">
        <f>'Tabela S'!L3</f>
        <v>0</v>
      </c>
    </row>
    <row r="12" spans="1:11" x14ac:dyDescent="0.25">
      <c r="A12" s="1"/>
      <c r="E12" s="1"/>
      <c r="F12" s="1" t="s">
        <v>5</v>
      </c>
      <c r="G12" s="59">
        <f>Soc!G3*1.65%</f>
        <v>0</v>
      </c>
      <c r="H12" s="59">
        <f>Soc!G3*0.65%</f>
        <v>0</v>
      </c>
      <c r="I12" s="60">
        <f>'Tabela S'!M3</f>
        <v>0</v>
      </c>
    </row>
    <row r="13" spans="1:11" x14ac:dyDescent="0.25">
      <c r="A13" s="1"/>
      <c r="E13" s="1"/>
      <c r="F13" s="1" t="s">
        <v>3</v>
      </c>
      <c r="G13" s="59">
        <f>Soc!G3*7.6%</f>
        <v>0</v>
      </c>
      <c r="H13" s="59">
        <f>Soc!G3*3%</f>
        <v>0</v>
      </c>
      <c r="I13" s="60">
        <f>'Tabela S'!N3</f>
        <v>0</v>
      </c>
      <c r="K13" s="59"/>
    </row>
    <row r="14" spans="1:11" x14ac:dyDescent="0.25">
      <c r="A14" s="1"/>
      <c r="E14" s="1"/>
      <c r="F14" s="1" t="s">
        <v>2</v>
      </c>
      <c r="G14" s="59">
        <f>(Soc!G3-(SUM(G11:G13)+G16+F4+Soc!G5))*9%</f>
        <v>-32.4</v>
      </c>
      <c r="H14" s="59">
        <f>9%*32%*Soc!G3</f>
        <v>0</v>
      </c>
      <c r="I14" s="60">
        <f>'Tabela S'!O3</f>
        <v>0</v>
      </c>
    </row>
    <row r="15" spans="1:11" x14ac:dyDescent="0.25">
      <c r="A15" s="1"/>
      <c r="E15" s="1"/>
      <c r="F15" s="1" t="s">
        <v>1</v>
      </c>
      <c r="G15" s="59">
        <f>(Soc!G3-(SUM(G11:G13)+G16+F4+Soc!G5))*15%</f>
        <v>-54</v>
      </c>
      <c r="H15" s="59">
        <f>15%*32%*Soc!G3</f>
        <v>0</v>
      </c>
      <c r="I15" s="60">
        <f>'Tabela S'!P3</f>
        <v>0</v>
      </c>
    </row>
    <row r="16" spans="1:11" x14ac:dyDescent="0.25">
      <c r="A16" s="1"/>
      <c r="E16" s="1"/>
      <c r="F16" s="1" t="s">
        <v>7</v>
      </c>
      <c r="G16" s="59">
        <f>Soc!G4*25.83%</f>
        <v>0</v>
      </c>
      <c r="H16" s="59">
        <f>Soc!G4*25.83%</f>
        <v>0</v>
      </c>
      <c r="I16" s="60">
        <f>'Tabela S'!Q3</f>
        <v>0</v>
      </c>
    </row>
    <row r="17" spans="1:9" x14ac:dyDescent="0.25">
      <c r="A17" s="1"/>
      <c r="E17" s="1"/>
      <c r="F17" s="1"/>
      <c r="G17" s="61">
        <f>SUM(G11:G16)</f>
        <v>273.60000000000002</v>
      </c>
      <c r="H17" s="61">
        <f>SUM(H11:H16)</f>
        <v>0</v>
      </c>
      <c r="I17" s="61">
        <f>SUM(I11:I16)</f>
        <v>0</v>
      </c>
    </row>
    <row r="18" spans="1:9" x14ac:dyDescent="0.25">
      <c r="A18" s="1"/>
      <c r="E18" s="1"/>
      <c r="F18" s="1"/>
      <c r="G18" s="61" t="b">
        <f>ISERROR(G17)</f>
        <v>0</v>
      </c>
      <c r="H18" s="61" t="b">
        <f>ISERROR(H17)</f>
        <v>0</v>
      </c>
      <c r="I18" s="61" t="b">
        <f>ISERROR(I17)</f>
        <v>0</v>
      </c>
    </row>
    <row r="19" spans="1:9" x14ac:dyDescent="0.25">
      <c r="A19" s="1"/>
      <c r="E19" s="1"/>
      <c r="F19" s="1"/>
      <c r="G19" s="61" t="b">
        <f>OR(G18,H18,I18)</f>
        <v>0</v>
      </c>
      <c r="H19" s="61"/>
      <c r="I19" s="61"/>
    </row>
    <row r="20" spans="1:9" x14ac:dyDescent="0.25">
      <c r="A20" s="1"/>
      <c r="B20" s="6"/>
      <c r="C20" s="6"/>
      <c r="D20" s="6"/>
      <c r="E20" s="1"/>
      <c r="F20" s="1"/>
      <c r="G20" s="1"/>
    </row>
    <row r="21" spans="1:9" x14ac:dyDescent="0.25">
      <c r="A21" s="1"/>
      <c r="B21" s="1"/>
      <c r="C21" s="1"/>
      <c r="D21" s="1"/>
      <c r="E21" s="1"/>
      <c r="F21" s="1"/>
      <c r="G21" s="1"/>
    </row>
    <row r="25" spans="1:9" x14ac:dyDescent="0.25">
      <c r="G25" s="2">
        <v>79276.42</v>
      </c>
    </row>
    <row r="26" spans="1:9" x14ac:dyDescent="0.25">
      <c r="G26" s="2">
        <v>54351.85</v>
      </c>
    </row>
    <row r="27" spans="1:9" x14ac:dyDescent="0.25">
      <c r="G27" s="2">
        <f>G25-G26</f>
        <v>24924.57</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Intro</vt:lpstr>
      <vt:lpstr>Disclaimer</vt:lpstr>
      <vt:lpstr>Soc</vt:lpstr>
      <vt:lpstr>Porc</vt:lpstr>
      <vt:lpstr>Tabela S</vt:lpstr>
      <vt:lpstr>Tabela P</vt:lpstr>
      <vt:lpstr>Créditos</vt:lpstr>
      <vt:lpstr>Dados</vt:lpstr>
      <vt:lpstr>Porc!Area_de_impressao</vt:lpstr>
      <vt:lpstr>Soc!Area_de_impressao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Elemar</dc:creator>
  <cp:lastModifiedBy>Paula Lima e Mello</cp:lastModifiedBy>
  <cp:lastPrinted>2014-09-09T11:31:24Z</cp:lastPrinted>
  <dcterms:created xsi:type="dcterms:W3CDTF">2014-09-06T04:49:50Z</dcterms:created>
  <dcterms:modified xsi:type="dcterms:W3CDTF">2014-12-15T18:52:57Z</dcterms:modified>
</cp:coreProperties>
</file>